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20490" windowHeight="7485" tabRatio="517" firstSheet="3" activeTab="7"/>
  </bookViews>
  <sheets>
    <sheet name="Nyheter" sheetId="1" state="hidden" r:id="rId1"/>
    <sheet name="0 Titel" sheetId="2" r:id="rId2"/>
    <sheet name="1 Fakta" sheetId="3" r:id="rId3"/>
    <sheet name="2 Anvisningar" sheetId="4" r:id="rId4"/>
    <sheet name="3 Förutsättningar" sheetId="5" r:id="rId5"/>
    <sheet name="Kod" sheetId="6" state="hidden" r:id="rId6"/>
    <sheet name="Back Office" sheetId="7" state="hidden" r:id="rId7"/>
    <sheet name="4 Avskjutning&amp;Prognos" sheetId="8" r:id="rId8"/>
    <sheet name="Valideringsvärden" sheetId="9" state="hidden" r:id="rId9"/>
    <sheet name="Bilaga I Beräkn.stöd predation" sheetId="10" r:id="rId10"/>
    <sheet name="Bilaga II Data till ÄFPmall" sheetId="11" r:id="rId11"/>
  </sheets>
  <definedNames>
    <definedName name="_xlnm.Print_Area" localSheetId="1">'0 Titel'!$A$1:$J$48</definedName>
    <definedName name="_xlnm.Print_Area" localSheetId="2">'1 Fakta'!$A$1:$Q$50</definedName>
    <definedName name="_xlnm.Print_Area" localSheetId="3">'2 Anvisningar'!$A$1:$N$61</definedName>
    <definedName name="_xlnm.Print_Area" localSheetId="4">'3 Förutsättningar'!$A$1:$AN$60</definedName>
    <definedName name="_xlnm.Print_Area" localSheetId="7">'4 Avskjutning&amp;Prognos'!$A$1:$N$50</definedName>
    <definedName name="_xlnm.Print_Area" localSheetId="9">'Bilaga I Beräkn.stöd predation'!$A$1:$L$61</definedName>
    <definedName name="_xlnm.Print_Area" localSheetId="0">'Nyheter'!$A$1:$O$52</definedName>
  </definedNames>
  <calcPr fullCalcOnLoad="1"/>
</workbook>
</file>

<file path=xl/comments10.xml><?xml version="1.0" encoding="utf-8"?>
<comments xmlns="http://schemas.openxmlformats.org/spreadsheetml/2006/main">
  <authors>
    <author>Ditt anv?ndarnamn</author>
    <author>Emil Broman</author>
  </authors>
  <commentList>
    <comment ref="G50" authorId="0">
      <text>
        <r>
          <rPr>
            <b/>
            <sz val="8"/>
            <rFont val="Tahoma"/>
            <family val="2"/>
          </rPr>
          <t>Överför till sidan 3 Förutsättningar, Dödlighet utöver jakt, Rovdjur, Antal vuxna tjurar per år</t>
        </r>
        <r>
          <rPr>
            <sz val="8"/>
            <rFont val="Tahoma"/>
            <family val="2"/>
          </rPr>
          <t xml:space="preserve">
</t>
        </r>
      </text>
    </comment>
    <comment ref="G51" authorId="0">
      <text>
        <r>
          <rPr>
            <b/>
            <sz val="8"/>
            <rFont val="Tahoma"/>
            <family val="2"/>
          </rPr>
          <t>Överför till sidan 3 Förutsättningar, Dödlighet utöver jakt, Rovdjur, Antal vuxna hondjur per år</t>
        </r>
        <r>
          <rPr>
            <sz val="8"/>
            <rFont val="Tahoma"/>
            <family val="2"/>
          </rPr>
          <t xml:space="preserve">
</t>
        </r>
      </text>
    </comment>
    <comment ref="G52" authorId="0">
      <text>
        <r>
          <rPr>
            <b/>
            <sz val="8"/>
            <rFont val="Tahoma"/>
            <family val="2"/>
          </rPr>
          <t>Överför till sidan 3 Förutsättningar, Dödlighet utöver jakt, Rovdjur, Antal kalvar efter jaktstart per år</t>
        </r>
        <r>
          <rPr>
            <sz val="8"/>
            <rFont val="Tahoma"/>
            <family val="2"/>
          </rPr>
          <t xml:space="preserve">
</t>
        </r>
      </text>
    </comment>
    <comment ref="E39" authorId="1">
      <text>
        <r>
          <rPr>
            <b/>
            <sz val="9"/>
            <rFont val="Tahoma"/>
            <family val="2"/>
          </rPr>
          <t>Överför till sidan 3 Förutsättningar, Mängd vargrevir inom området</t>
        </r>
        <r>
          <rPr>
            <sz val="10"/>
            <rFont val="Tahoma"/>
            <family val="2"/>
          </rPr>
          <t xml:space="preserve">
</t>
        </r>
      </text>
    </comment>
    <comment ref="E33" authorId="1">
      <text>
        <r>
          <rPr>
            <b/>
            <sz val="10"/>
            <rFont val="Tahoma"/>
            <family val="2"/>
          </rPr>
          <t>Ange hur stor del av respektive förekommande revir som ligger inom förvaltningsområdet.</t>
        </r>
        <r>
          <rPr>
            <sz val="9"/>
            <rFont val="Tahoma"/>
            <family val="2"/>
          </rPr>
          <t xml:space="preserve">
</t>
        </r>
      </text>
    </comment>
    <comment ref="G33" authorId="1">
      <text>
        <r>
          <rPr>
            <b/>
            <sz val="9"/>
            <rFont val="Tahoma"/>
            <family val="2"/>
          </rPr>
          <t>Enligt Skadulv tar vargar i ett genomsnittligt revir i genomsnitt 120 (+/-20) älgar per år.
Effekter av alternativa byten kan styras genom att ändra detta värde.</t>
        </r>
      </text>
    </comment>
    <comment ref="D41" authorId="1">
      <text>
        <r>
          <rPr>
            <b/>
            <sz val="9"/>
            <rFont val="Tahoma"/>
            <family val="2"/>
          </rPr>
          <t>Beräknat på årsbasis</t>
        </r>
      </text>
    </comment>
    <comment ref="D42" authorId="1">
      <text>
        <r>
          <rPr>
            <b/>
            <sz val="9"/>
            <rFont val="Tahoma"/>
            <family val="2"/>
          </rPr>
          <t>Beräknat på årsbasis</t>
        </r>
      </text>
    </comment>
  </commentList>
</comments>
</file>

<file path=xl/comments11.xml><?xml version="1.0" encoding="utf-8"?>
<comments xmlns="http://schemas.openxmlformats.org/spreadsheetml/2006/main">
  <authors>
    <author>Emil Broman</author>
  </authors>
  <commentList>
    <comment ref="A4" authorId="0">
      <text>
        <r>
          <rPr>
            <b/>
            <sz val="9"/>
            <rFont val="Tahoma"/>
            <family val="2"/>
          </rPr>
          <t>Areal som används i Älgfrodes beräkningar för ett ÄFO skall vara samma som anges i förvaltningsplanen.</t>
        </r>
        <r>
          <rPr>
            <sz val="9"/>
            <rFont val="Tahoma"/>
            <family val="2"/>
          </rPr>
          <t xml:space="preserve">
</t>
        </r>
      </text>
    </comment>
    <comment ref="E3" authorId="0">
      <text>
        <r>
          <rPr>
            <b/>
            <sz val="9"/>
            <rFont val="Tahoma"/>
            <family val="2"/>
          </rPr>
          <t>Med reservation för version på ÄFPmall</t>
        </r>
        <r>
          <rPr>
            <sz val="9"/>
            <rFont val="Tahoma"/>
            <family val="2"/>
          </rPr>
          <t xml:space="preserve">
</t>
        </r>
      </text>
    </comment>
  </commentList>
</comments>
</file>

<file path=xl/comments5.xml><?xml version="1.0" encoding="utf-8"?>
<comments xmlns="http://schemas.openxmlformats.org/spreadsheetml/2006/main">
  <authors>
    <author>Ditt anv?ndarnamn</author>
    <author>Emil Broman</author>
  </authors>
  <commentList>
    <comment ref="D47" authorId="0">
      <text>
        <r>
          <rPr>
            <b/>
            <sz val="10"/>
            <rFont val="Tahoma"/>
            <family val="2"/>
          </rPr>
          <t xml:space="preserve">Räkna med antal kalvar som dör </t>
        </r>
        <r>
          <rPr>
            <b/>
            <u val="single"/>
            <sz val="10"/>
            <rFont val="Tahoma"/>
            <family val="2"/>
          </rPr>
          <t>mellan jaktstart (speptember eller oktober) och slutet på maj nästföjande år.</t>
        </r>
        <r>
          <rPr>
            <b/>
            <sz val="10"/>
            <rFont val="Tahoma"/>
            <family val="2"/>
          </rPr>
          <t xml:space="preserve">
Orsaken till detta är att kalvar som dör före jakt tas beräkningstekniskt om hand i uppgift om antal kalvar per vuxet hondjur och skall ej räknas med här. </t>
        </r>
      </text>
    </comment>
    <comment ref="F16" authorId="0">
      <text>
        <r>
          <rPr>
            <b/>
            <sz val="10"/>
            <rFont val="Tahoma"/>
            <family val="2"/>
          </rPr>
          <t xml:space="preserve">Ange den siffra som motsvarar beskrivning i listan till höger. </t>
        </r>
        <r>
          <rPr>
            <sz val="10"/>
            <rFont val="Tahoma"/>
            <family val="2"/>
          </rPr>
          <t xml:space="preserve">
</t>
        </r>
      </text>
    </comment>
    <comment ref="F33" authorId="0">
      <text>
        <r>
          <rPr>
            <b/>
            <sz val="10"/>
            <rFont val="Tahoma"/>
            <family val="2"/>
          </rPr>
          <t xml:space="preserve">Ange ett värde på skattad älgtäthet som gäller för ovan angiven områdesareal och januarimånad året efter angivet jaktstartsår.Eventuella älgar skjutna efter januari skall räknas bort från skattat antal.
</t>
        </r>
      </text>
    </comment>
    <comment ref="M44" authorId="0">
      <text>
        <r>
          <rPr>
            <b/>
            <sz val="10"/>
            <rFont val="Tahoma"/>
            <family val="2"/>
          </rPr>
          <t>Om data på dödlighet utlämnas eller fylls i felaktigt beräknas dödlighet utifrån björntäthet, mängd med vargrevir i området och schablontal på bl a antal slagna älgar per björn, antal vargdödade älgar per revir, dödlighet av annat än jakt och rovdjur m.m.
Utan specifika data på antal vargdödade älgar beräknas antal döda efter en modell som är:
1. täthetsberoende dvs ju mer älgar desto fler älgar slår vargarna.
2. oberoende av antalet alternativa bytesdjur dvs om allt övrigt är lika innebär områden med många alternativa bytesdjur samma antal döda älgar som områden utan alternativa bytesdjur.
I händelse av att antal döda tas fram medels modellberäkning syns här antalet som förvänats dö första året. Följande år kan antelet vara färre eller fler beroende på om älgstammen ökar eller minskar.
Om data på dödlighet fylls i, och det med tillåtna data, används dessa istället för modellberäkningen. I denna beräkning används antal döda som konstanter dvs antal döda är samma under de tre år prognosen avser och påverkas inte av t ex älgtäthet.</t>
        </r>
      </text>
    </comment>
    <comment ref="D36" authorId="0">
      <text>
        <r>
          <rPr>
            <b/>
            <sz val="10"/>
            <rFont val="Tahoma"/>
            <family val="2"/>
          </rPr>
          <t xml:space="preserve">Välj mellan att fylla i data för Älgobs eller data från flyginventering eller bådadera. 
</t>
        </r>
      </text>
    </comment>
    <comment ref="F20" authorId="1">
      <text>
        <r>
          <rPr>
            <b/>
            <sz val="10"/>
            <rFont val="Tahoma"/>
            <family val="2"/>
          </rPr>
          <t xml:space="preserve">Utgå från uppgifter om vargrevir som helt eller delvis finns i området. 
Lägg ihop andelar av respektive revir som finns inom området och fyll i summan.
För summering använd gärna räknemodul "Vargrevir i området" som återfinns i  Bilaga I.
</t>
        </r>
      </text>
    </comment>
    <comment ref="F36" authorId="1">
      <text>
        <r>
          <rPr>
            <b/>
            <sz val="10"/>
            <rFont val="Tahoma"/>
            <family val="2"/>
          </rPr>
          <t>Om värden finns att tillgå för flera år bakåt i tiden används lämpligen ett medelvärde av senaste tre åren. Detta för att erhålla ett värde som tar hänsyn och dämpar effekten av naturlig mellanårsvariation. 
Förfarandet är dock mindre lyckat om egenskaperna visar en tydlig trend uppåt eller nedåt. Det kan då vara lämpligare att välja ett kortare tidsintervall dvs två år eller till och med endast värdet från senaste Älgobs. 
Etablering av varg kan vara ett skäl till att antalet kalv per ko inte representeras väl av tidigare års data.</t>
        </r>
      </text>
    </comment>
    <comment ref="F19" authorId="1">
      <text>
        <r>
          <rPr>
            <b/>
            <sz val="10"/>
            <rFont val="Tahoma"/>
            <family val="2"/>
          </rPr>
          <t xml:space="preserve">Förekomst av björn påverkar älgstammens utveckling på främst två sätt:
1. Antal kalvar per ko vid jaktstart dvs. antal kalvar som föds minus de som björnarna tar under älgens första månader.
2.Antal rovdjursdödade älgar som vuxit förbi sin första sommar. 
Med de tätheter av björn som finns i Sverige har punkt 1 en större betydelse för utvecklingen än punkt 2.
Beräkningstekniskt påverkar uppgiften på björntäthet endast punkt 2 ovan (och endast om uppgifter på antal rovdjursdödade älgar utelämnas). Effekt av punkt 1 utgör en del av uppgift på "Antal kalvar per vuxet hondjur".
Som vägledning anges nedan ungefärliga värden utifrån uppgifter från Skandinaviska björnprojektet 2013. </t>
        </r>
        <r>
          <rPr>
            <b/>
            <u val="single"/>
            <sz val="10"/>
            <rFont val="Tahoma"/>
            <family val="2"/>
          </rPr>
          <t>Tänk på att det rör sig om medelvärden och att variationen inom ett län kan vara mycket stor.</t>
        </r>
        <r>
          <rPr>
            <b/>
            <sz val="10"/>
            <rFont val="Tahoma"/>
            <family val="2"/>
          </rPr>
          <t xml:space="preserve">
Norrbotten 6,1
Västerbotten 5,5
Västernorrland 8,0
Jämtland 18,5
Dalarna 14,7
Gävleborg 21,0
Värmland 1,0</t>
        </r>
      </text>
    </comment>
    <comment ref="F34" authorId="1">
      <text>
        <r>
          <rPr>
            <b/>
            <sz val="10"/>
            <rFont val="Tahoma"/>
            <family val="2"/>
          </rPr>
          <t>Beroende på metod för hur täthet har skattats kan denna siffra variera.
Gäller skattning från flyginventering anges samma månad som inventering har utförts.
Kalibrerade spillningsinventeringar anges med samma månad som utgör det/de skttninagr mot vilket spillningen kalibrerats. Icke kalibrerade spillningsinventeringar anges med månaden mitt emallan start och slut på perioden för då spillningshögar ackumuleras.
Utgår man från älgar i sommarstam minus avskjutning skall månaden vara samma som månad för jaktstart.</t>
        </r>
        <r>
          <rPr>
            <b/>
            <sz val="9"/>
            <rFont val="Tahoma"/>
            <family val="2"/>
          </rPr>
          <t xml:space="preserve">
</t>
        </r>
      </text>
    </comment>
    <comment ref="D32" authorId="1">
      <text>
        <r>
          <rPr>
            <b/>
            <sz val="10"/>
            <rFont val="Tahoma"/>
            <family val="2"/>
          </rPr>
          <t xml:space="preserve">Uppgiften utgör grunden till att beräkna ett värde på stammens storlek vid jaktstart år 0.  </t>
        </r>
      </text>
    </comment>
    <comment ref="D22" authorId="1">
      <text>
        <r>
          <rPr>
            <b/>
            <sz val="10"/>
            <rFont val="Tahoma"/>
            <family val="2"/>
          </rPr>
          <t xml:space="preserve">Målsättning anges för älgstammens storlek och sammansättning efter att hela jaktuttaget gjorts. </t>
        </r>
        <r>
          <rPr>
            <sz val="9"/>
            <rFont val="Tahoma"/>
            <family val="2"/>
          </rPr>
          <t xml:space="preserve">
</t>
        </r>
      </text>
    </comment>
    <comment ref="D44" authorId="1">
      <text>
        <r>
          <rPr>
            <b/>
            <sz val="9"/>
            <rFont val="Tahoma"/>
            <family val="2"/>
          </rPr>
          <t>Uppgifterna avser förväntat antal älgar som kommer dö. Förutom statistik på rapporterat antal döda närmast tidigare år bör man beakta om stammens förvänats öka eller minska, att alla döda älgar inte rapporteras och förändringar i omvärldsfakorer.
För vuxna anges det antal som förväntas dö per år. För kalvar anges antalet som i genomsnitt förväntas dö mellan jaktstart (september eller oktober) till slutet på maj. 
Om uppgifter utelämnas baseras beräkning på de uppgifter som angivits om rovdjursförekomst respektive en schablonmässig dödsrisk av annat än jakt och rovdjur. 
Använd gärna Bilaga I. för att bestämma antal rovdjursdödade älgar. Effekter av höga eller låga förekomster av alternativa bytesdjur kan regleras genom uppgifter i antal älgar som läggs in här.
Välj mellan att:
1. inte fylla i värden i något fält
2. enbart fylla i de tre fälten under rubriken Rovdjur.
3. enbart fylla i de sex fälten under rubrikerna Trafik och Övrigt. 
4. fylla i alla fält.
Ange alltid 0 för inga döda.</t>
        </r>
        <r>
          <rPr>
            <sz val="9"/>
            <rFont val="Tahoma"/>
            <family val="2"/>
          </rPr>
          <t xml:space="preserve">
</t>
        </r>
      </text>
    </comment>
    <comment ref="F44" authorId="1">
      <text>
        <r>
          <rPr>
            <b/>
            <sz val="9"/>
            <rFont val="Tahoma"/>
            <family val="2"/>
          </rPr>
          <t>Om det inte finns björn eller någon del av vagrevir i området läggs förväntat antal döda av rovdjur till de antal som anges under rubriken Övrigt.</t>
        </r>
        <r>
          <rPr>
            <sz val="9"/>
            <rFont val="Tahoma"/>
            <family val="2"/>
          </rPr>
          <t xml:space="preserve">
</t>
        </r>
      </text>
    </comment>
    <comment ref="F15" authorId="0">
      <text>
        <r>
          <rPr>
            <b/>
            <sz val="10"/>
            <rFont val="Tahoma"/>
            <family val="2"/>
          </rPr>
          <t>Ange 9 för septemberjakt eller 10 för jaktstart i oktober.</t>
        </r>
        <r>
          <rPr>
            <sz val="8"/>
            <rFont val="Tahoma"/>
            <family val="2"/>
          </rPr>
          <t xml:space="preserve">
</t>
        </r>
      </text>
    </comment>
  </commentList>
</comments>
</file>

<file path=xl/comments6.xml><?xml version="1.0" encoding="utf-8"?>
<comments xmlns="http://schemas.openxmlformats.org/spreadsheetml/2006/main">
  <authors>
    <author>Emil Broman</author>
  </authors>
  <commentList>
    <comment ref="Y1" authorId="0">
      <text>
        <r>
          <rPr>
            <sz val="9"/>
            <rFont val="Tahoma"/>
            <family val="2"/>
          </rPr>
          <t>Tidserie backar från tidpunkt för flyginventering. Första värde anger inventeringsmånad - 1.
I första raden byggs älgar på som månatligen dödats av rovdjur och övriga orsaker förutom jakt.
I andra raden adderas alla skjutna älgar.
Fritt tolkat så beskriver modellen ett scenario där avskjutningen sker i ett svep direkt efter jaktstart för att därefter åtföljas av en minskning av antalet älgar i stammen utav rovdjur och övriga orsaker fram till inventeringstidpunkten.</t>
        </r>
      </text>
    </comment>
    <comment ref="AP16" authorId="0">
      <text>
        <r>
          <rPr>
            <sz val="9"/>
            <rFont val="Tahoma"/>
            <family val="2"/>
          </rPr>
          <t>Tidserie utgår från månad då jakten avslutats.
Fritt tolkat så beskriver modellen ett scenario där avskjutningen sker i ett svep direkt efter jaktstart för att därefter åtföljas av en minskning av antalet älgar i stammen utav rovdjur och övriga orsaker fram till inventeringstidpunkten.</t>
        </r>
      </text>
    </comment>
  </commentList>
</comments>
</file>

<file path=xl/comments7.xml><?xml version="1.0" encoding="utf-8"?>
<comments xmlns="http://schemas.openxmlformats.org/spreadsheetml/2006/main">
  <authors>
    <author>Emil Broman</author>
  </authors>
  <commentList>
    <comment ref="A1" authorId="0">
      <text>
        <r>
          <rPr>
            <b/>
            <sz val="9"/>
            <rFont val="Tahoma"/>
            <family val="2"/>
          </rPr>
          <t xml:space="preserve">Antal kalvar per ko före jaktstart 
Beräknat som genomsnitt över län utan rovdjur, med enbart björn med enbart vargrevir och med rovdjur. Älgobsdata per län 2012-2015.
Dödsrisk kalv av övrigt, efter jaktstart
Genomsnittlig dödsrisk okt-maj beräknat från data överlevnad jan-maj. Data från sex områden med radiomärkta älgar 1990-2002.
</t>
        </r>
        <r>
          <rPr>
            <sz val="9"/>
            <rFont val="Tahoma"/>
            <family val="2"/>
          </rPr>
          <t xml:space="preserve">
</t>
        </r>
      </text>
    </comment>
    <comment ref="A10" authorId="0">
      <text>
        <r>
          <rPr>
            <b/>
            <sz val="9"/>
            <rFont val="Tahoma"/>
            <family val="2"/>
          </rPr>
          <t xml:space="preserve">Björnstam och predation
Parametervärden från Strategier för beskattning av älg, med och utan rovdjur Håkan Sand, Niclas Jonzén, Henrik Andrén, Johan Månsson, Jon E. Swenson, Jonas Kindberg. Version 1.0 (december 2011)
</t>
        </r>
        <r>
          <rPr>
            <sz val="9"/>
            <rFont val="Tahoma"/>
            <family val="2"/>
          </rPr>
          <t xml:space="preserve">
</t>
        </r>
      </text>
    </comment>
    <comment ref="A16" authorId="0">
      <text>
        <r>
          <rPr>
            <b/>
            <sz val="9"/>
            <rFont val="Tahoma"/>
            <family val="2"/>
          </rPr>
          <t xml:space="preserve">Vargpredation, täthetsoberoende
Parametervärden från Strategier för beskattning av älg, med och utan rovdjur Håkan Sand, Niclas Jonzén, Henrik Andrén, Johan Månsson, Jon E. Swenson, Jonas Kindberg. Version 1.0 (december 2011)
</t>
        </r>
        <r>
          <rPr>
            <sz val="9"/>
            <rFont val="Tahoma"/>
            <family val="2"/>
          </rPr>
          <t xml:space="preserve">
</t>
        </r>
      </text>
    </comment>
    <comment ref="A32" authorId="0">
      <text>
        <r>
          <rPr>
            <b/>
            <sz val="9"/>
            <rFont val="Tahoma"/>
            <family val="2"/>
          </rPr>
          <t xml:space="preserve">Vargpredation, täthetsberoende vinter
Anpassning av Kill rate-funktion till empriska data. Funktion från Messier, 1994, Ungulate population models with predation: a case study with the North Amercian Moose. Data från Strategier för beskattning av älg, med och utan rovdjur Håkan Sand, Niclas Jonzén, Henrik Andrén, Johan Månsson, Jon E. Swenson, Jonas Kindberg. Version 1.0 (december 2011). 
</t>
        </r>
        <r>
          <rPr>
            <sz val="9"/>
            <rFont val="Tahoma"/>
            <family val="2"/>
          </rPr>
          <t xml:space="preserve">
</t>
        </r>
      </text>
    </comment>
  </commentList>
</comments>
</file>

<file path=xl/comments8.xml><?xml version="1.0" encoding="utf-8"?>
<comments xmlns="http://schemas.openxmlformats.org/spreadsheetml/2006/main">
  <authors>
    <author>Emil Broman</author>
  </authors>
  <commentList>
    <comment ref="D29" authorId="0">
      <text>
        <r>
          <rPr>
            <b/>
            <sz val="9"/>
            <rFont val="Tahoma"/>
            <family val="2"/>
          </rPr>
          <t xml:space="preserve">Notera att värdena avser procent tjurar av vuxna </t>
        </r>
        <r>
          <rPr>
            <b/>
            <i/>
            <sz val="9"/>
            <rFont val="Tahoma"/>
            <family val="2"/>
          </rPr>
          <t>efter</t>
        </r>
        <r>
          <rPr>
            <b/>
            <sz val="9"/>
            <rFont val="Tahoma"/>
            <family val="2"/>
          </rPr>
          <t xml:space="preserve"> jakt. 
Ett genomsnittligt värde på procent tjurar i stammen </t>
        </r>
        <r>
          <rPr>
            <b/>
            <i/>
            <sz val="9"/>
            <rFont val="Tahoma"/>
            <family val="2"/>
          </rPr>
          <t>vid jaktstart</t>
        </r>
        <r>
          <rPr>
            <b/>
            <sz val="9"/>
            <rFont val="Tahoma"/>
            <family val="2"/>
          </rPr>
          <t>återfinns i Bilaga II Data till ÄFPmall.</t>
        </r>
      </text>
    </comment>
    <comment ref="D28" authorId="0">
      <text>
        <r>
          <rPr>
            <b/>
            <sz val="9"/>
            <rFont val="Tahoma"/>
            <family val="2"/>
          </rPr>
          <t>Värdena beskriver älgstammens storlek i januari för respektive jaktår med antagnade om respektive års jaktuttag då är komplett.</t>
        </r>
      </text>
    </comment>
  </commentList>
</comments>
</file>

<file path=xl/sharedStrings.xml><?xml version="1.0" encoding="utf-8"?>
<sst xmlns="http://schemas.openxmlformats.org/spreadsheetml/2006/main" count="871" uniqueCount="345">
  <si>
    <t>Stammens storlek och sammansättning</t>
  </si>
  <si>
    <t>Andel tjurkalv av alla kalvar</t>
  </si>
  <si>
    <t>Antal döda av annat än jakt</t>
  </si>
  <si>
    <t>Modellbeskrivning och anvisningar</t>
  </si>
  <si>
    <t>•</t>
  </si>
  <si>
    <r>
      <t>Så här gör du</t>
    </r>
    <r>
      <rPr>
        <sz val="11"/>
        <color indexed="8"/>
        <rFont val="Arial"/>
        <family val="2"/>
      </rPr>
      <t xml:space="preserve"> </t>
    </r>
  </si>
  <si>
    <t>Förutsättningar</t>
  </si>
  <si>
    <t>År vid start av senaste jakt</t>
  </si>
  <si>
    <t>Områdets areal i hektar</t>
  </si>
  <si>
    <t>Antal kor</t>
  </si>
  <si>
    <t>Antal kalvar</t>
  </si>
  <si>
    <t>Antal tjurar</t>
  </si>
  <si>
    <t>Avskjutning senaste jakt</t>
  </si>
  <si>
    <t>Totalt</t>
  </si>
  <si>
    <t>Könskvot</t>
  </si>
  <si>
    <t>Kor</t>
  </si>
  <si>
    <t>Kalvar</t>
  </si>
  <si>
    <t>Tjurar</t>
  </si>
  <si>
    <t>Population</t>
  </si>
  <si>
    <t>Adulter</t>
  </si>
  <si>
    <t>Jaktstartsmånad</t>
  </si>
  <si>
    <t>Ettåringar</t>
  </si>
  <si>
    <t>Totalt kor</t>
  </si>
  <si>
    <t>Antal döda</t>
  </si>
  <si>
    <t>Jakt</t>
  </si>
  <si>
    <t>Annat</t>
  </si>
  <si>
    <t>Andel döda</t>
  </si>
  <si>
    <t>Kvigor</t>
  </si>
  <si>
    <t>Antal skjutna</t>
  </si>
  <si>
    <t>Kvigkalv</t>
  </si>
  <si>
    <t>Tjurkalv</t>
  </si>
  <si>
    <t>Målsättning</t>
  </si>
  <si>
    <t>Antal död annat</t>
  </si>
  <si>
    <t>Antal döda totalt</t>
  </si>
  <si>
    <t>Andel skjutna</t>
  </si>
  <si>
    <t>Andel död annat</t>
  </si>
  <si>
    <t>Andel döda totalt</t>
  </si>
  <si>
    <t>Alla</t>
  </si>
  <si>
    <t>Ko</t>
  </si>
  <si>
    <t>Kalv</t>
  </si>
  <si>
    <t>Tjur</t>
  </si>
  <si>
    <r>
      <t xml:space="preserve">Gå till fliken </t>
    </r>
    <r>
      <rPr>
        <i/>
        <sz val="11"/>
        <color indexed="8"/>
        <rFont val="Arial"/>
        <family val="2"/>
      </rPr>
      <t>3 Förutsättningar</t>
    </r>
    <r>
      <rPr>
        <sz val="11"/>
        <color indexed="8"/>
        <rFont val="Arial"/>
        <family val="2"/>
      </rPr>
      <t>. Fyll i ingångsvärden i tabellen.</t>
    </r>
  </si>
  <si>
    <t>% tjurkalv av alla kalvar</t>
  </si>
  <si>
    <t>% tjur av vuxna</t>
  </si>
  <si>
    <t>Avvikelse från målet</t>
  </si>
  <si>
    <t>Något om älgdemografi</t>
  </si>
  <si>
    <t>Varg</t>
  </si>
  <si>
    <t>Modellen för populationsutvecklingen är byggd utifrån att man kan ange:</t>
  </si>
  <si>
    <t>Förslag på avskjutning</t>
  </si>
  <si>
    <t>Områdesinformation</t>
  </si>
  <si>
    <t>Region</t>
  </si>
  <si>
    <t>Antal älgar per 1000 ha efter jakt</t>
  </si>
  <si>
    <t>% tjur av vuxna efter jakt</t>
  </si>
  <si>
    <t>Antal vuxna tjurar</t>
  </si>
  <si>
    <t>Antal vuxna hondjur</t>
  </si>
  <si>
    <t>Älgstammens storlek</t>
  </si>
  <si>
    <t>Älgstammens egenskaper</t>
  </si>
  <si>
    <t>Enligt Älgobs</t>
  </si>
  <si>
    <t>Enligt flyg-inventering</t>
  </si>
  <si>
    <t>% tjurar av vuxna</t>
  </si>
  <si>
    <t>Antal kalvar per vuxet hondjur</t>
  </si>
  <si>
    <t>Enligt avskjutning</t>
  </si>
  <si>
    <t>Dödlighet utöver jakt</t>
  </si>
  <si>
    <t>Trafik</t>
  </si>
  <si>
    <t>Rovdjur</t>
  </si>
  <si>
    <t>Övrigt</t>
  </si>
  <si>
    <t>Antal vuxna tjurar per år</t>
  </si>
  <si>
    <t>Antal vuxna hondjur per år</t>
  </si>
  <si>
    <t>Beräkningsstöd predation</t>
  </si>
  <si>
    <t>Björn</t>
  </si>
  <si>
    <t>Björn per 100 000 ha</t>
  </si>
  <si>
    <t>Andel vuxen björn i stam</t>
  </si>
  <si>
    <t>Predation älg per vuxen björn</t>
  </si>
  <si>
    <t>Andel älgkalv  av predation</t>
  </si>
  <si>
    <t>Andel älgko av predation</t>
  </si>
  <si>
    <t>Andel av kalvpredation före jaktstart</t>
  </si>
  <si>
    <t>Antal björnar i området</t>
  </si>
  <si>
    <t>Björnpredation vuxen ko</t>
  </si>
  <si>
    <t>Björnpredation älgkalv</t>
  </si>
  <si>
    <t>Vargpredation vuxen tjur</t>
  </si>
  <si>
    <t>Vargpredation vuxen ko</t>
  </si>
  <si>
    <t>Vargpredation älgkalv</t>
  </si>
  <si>
    <t>Predation vuxen tjur</t>
  </si>
  <si>
    <t>Predation vuxen ko</t>
  </si>
  <si>
    <t>Avskjutning &amp; Prognos</t>
  </si>
  <si>
    <t>Kalv per vuxen</t>
  </si>
  <si>
    <t>Antal vuxna</t>
  </si>
  <si>
    <t>Antal totalt</t>
  </si>
  <si>
    <t>Antal rovdjursdödade</t>
  </si>
  <si>
    <t>Antal älgar efter jakt</t>
  </si>
  <si>
    <t>Andel rovdjursdödade</t>
  </si>
  <si>
    <t>Kalv per ko</t>
  </si>
  <si>
    <t>Antal per 1000 ha</t>
  </si>
  <si>
    <t>Dödsrisk tjur</t>
  </si>
  <si>
    <t>Dödsrisk ko</t>
  </si>
  <si>
    <t>Dödsrisk kalv</t>
  </si>
  <si>
    <t>antal skjutna tjurar, kor och kalvar i området senaste året</t>
  </si>
  <si>
    <t>könskvot hos kalv bland skjutna kalvar</t>
  </si>
  <si>
    <t>antal älgar som årligen dött av/förväntas dö av rovdjur, trafik och andra ej jaktbetingade orsaker</t>
  </si>
  <si>
    <t>Dödsrisk tjur av övrigt</t>
  </si>
  <si>
    <t>Dödsrisk ko av övrigt</t>
  </si>
  <si>
    <t>% tjurar av vuxna före jaktstart</t>
  </si>
  <si>
    <t>Antal kalvar per ko före jaktstart</t>
  </si>
  <si>
    <t>% tjurar av vuxna efter jaktstart</t>
  </si>
  <si>
    <t>% tjurkalv av alla kalvar före jaktstart</t>
  </si>
  <si>
    <t>Antal kalvar per ko efter jaktstart</t>
  </si>
  <si>
    <t>Namn eller identitet på revir</t>
  </si>
  <si>
    <t>Kön på kalvar bestäms av olika inre och yttre faktorer och det föds som regel något fler kalvar av hankön än honkön. Man kan använda avskjutningsstatistik för att bestämma denna andel. I modellberäkningarna används ett riksgenomsnitt på 52% tjurkalvar av alla kalvar om uppgift på könskvot bland kalvar utelämnas.</t>
  </si>
  <si>
    <t>Antal älgar i stammen varierar stort över året. Efter kalvningsperioden i maj-juni ökar antalet rejält för att under hösten reduceras av jakt. Före jakten är andelen kalv och tjur vanligtvis högre än efter, medan det omvända gäller andelen kor i stammen. Uppgifter om stammens sammansättning kan fås från olika typer av inventeringar och/eller beräkningsmodeller.</t>
  </si>
  <si>
    <t>Åldern på stammens hondjur påverkar genomsnittligt antal kalvar per vuxet hondjur. Unga och riktigt gamla individer är mindre fruktsamma dvs. får färre kalvar. En stor andel unga hondjur i stammen - låg medelålder - betyder normalt ett lägre reproduktionstal än en stam med hög medelålder. Kornas fruktsamhet varierar även på grund av miljöfaktorer t.ex. födomängd och födokvalitet. I genomsnitt föds vanligtvis mellan en halv och lite drygt en kalv per vuxet hondjur. I rovdjursfri miljö överlever merparten kalvar sommaren. I områden med björn kan överlevnaden dock vara så låg som 50%. I modellberäkningarna skall ett skattat värde på kalv per vuxet hondjur från Älgobs och/eller flyginventering anges.</t>
  </si>
  <si>
    <t>antal kalvar per vuxet hondjur från Älgobs och/eller flyginventering</t>
  </si>
  <si>
    <t>Andel vuxen björn i stammen</t>
  </si>
  <si>
    <t>Predation per revir</t>
  </si>
  <si>
    <r>
      <t xml:space="preserve">Predation älgkalv </t>
    </r>
    <r>
      <rPr>
        <i/>
        <sz val="10"/>
        <color indexed="8"/>
        <rFont val="Arial"/>
        <family val="2"/>
      </rPr>
      <t>efter</t>
    </r>
    <r>
      <rPr>
        <sz val="10"/>
        <color indexed="8"/>
        <rFont val="Arial"/>
        <family val="2"/>
      </rPr>
      <t xml:space="preserve"> jaktstart</t>
    </r>
  </si>
  <si>
    <r>
      <t xml:space="preserve">Vargpredation älgkalv </t>
    </r>
    <r>
      <rPr>
        <i/>
        <sz val="10"/>
        <color indexed="8"/>
        <rFont val="Arial"/>
        <family val="2"/>
      </rPr>
      <t>efter</t>
    </r>
    <r>
      <rPr>
        <sz val="10"/>
        <color indexed="8"/>
        <rFont val="Arial"/>
        <family val="2"/>
      </rPr>
      <t xml:space="preserve"> jaktstart</t>
    </r>
  </si>
  <si>
    <r>
      <t xml:space="preserve">Björnpredation älgkalv </t>
    </r>
    <r>
      <rPr>
        <i/>
        <sz val="10"/>
        <color indexed="8"/>
        <rFont val="Arial"/>
        <family val="2"/>
      </rPr>
      <t>efter</t>
    </r>
    <r>
      <rPr>
        <sz val="10"/>
        <color indexed="8"/>
        <rFont val="Arial"/>
        <family val="2"/>
      </rPr>
      <t xml:space="preserve"> jaktstart</t>
    </r>
  </si>
  <si>
    <r>
      <t xml:space="preserve">Antal kalvar </t>
    </r>
    <r>
      <rPr>
        <i/>
        <sz val="10"/>
        <rFont val="Arial"/>
        <family val="2"/>
      </rPr>
      <t xml:space="preserve">efter </t>
    </r>
    <r>
      <rPr>
        <sz val="10"/>
        <rFont val="Arial"/>
        <family val="2"/>
      </rPr>
      <t>jaktstart per år</t>
    </r>
  </si>
  <si>
    <t>Differens i antal älgar i stammen mellan prognos och mål kan avläsas längst ned på sidan.</t>
  </si>
  <si>
    <t>Björnpredation vuxen tjur</t>
  </si>
  <si>
    <t>% kalv av totalt</t>
  </si>
  <si>
    <t>Kommentarer</t>
  </si>
  <si>
    <t>Månad jakten startar</t>
  </si>
  <si>
    <t>Områdeskod</t>
  </si>
  <si>
    <t>Område</t>
  </si>
  <si>
    <t>Datum</t>
  </si>
  <si>
    <t>Tid</t>
  </si>
  <si>
    <t>Signatur</t>
  </si>
  <si>
    <t>Indata</t>
  </si>
  <si>
    <t>Vargpredation</t>
  </si>
  <si>
    <t>Sommar</t>
  </si>
  <si>
    <t>Vinter</t>
  </si>
  <si>
    <t>Dödsrisk kalv av övrigt, efter jaktstart</t>
  </si>
  <si>
    <t>Sommar, fjoling</t>
  </si>
  <si>
    <t>Björnpredation</t>
  </si>
  <si>
    <t>Summa % revir i området</t>
  </si>
  <si>
    <t>summan av andelar av olika vargrevir i området</t>
  </si>
  <si>
    <t>År</t>
  </si>
  <si>
    <t>Hondjur</t>
  </si>
  <si>
    <t>Med detta program kan man beräkna förväntat antal älgar i en älgstam upp till tre år i framtiden. Genom att variera avskjutning erhålls olika utfall. Programmet lämpar sig för att ta fram avskjutningsförslag som bland annat efterfrågas i älgförvaltningsplaner. För att skatta antalet älgar i befintlig stam eller beskriva tidigare utveckling bör andra verktyg eller metoder användas.</t>
  </si>
  <si>
    <t>Programversion</t>
  </si>
  <si>
    <t>Kalv per ko 2+</t>
  </si>
  <si>
    <r>
      <t xml:space="preserve">Sidorna är anpassade för att kunna skrivas ut. För synpunkter och support kontakta algfrode@naturforvaltning.se. </t>
    </r>
    <r>
      <rPr>
        <sz val="11"/>
        <color indexed="8"/>
        <rFont val="Arial"/>
        <family val="2"/>
      </rPr>
      <t>Vanliga frågor från användare (FAQ) hittas på Svensk Naturförvaltnings hemsida www.naturforvaltning.se</t>
    </r>
  </si>
  <si>
    <t>Registrerad areal för området (ha)</t>
  </si>
  <si>
    <t>Mål för vinterstam</t>
  </si>
  <si>
    <t>Vinterstam älg/ 1000 ha</t>
  </si>
  <si>
    <t xml:space="preserve">1.1 Mål för älgstammens utveckling inom älgförvaltningsområdet </t>
  </si>
  <si>
    <t>Målsättning kalvandel i avskjutning</t>
  </si>
  <si>
    <t xml:space="preserve">4.1 Avskjutning för älgförvaltningsområdet </t>
  </si>
  <si>
    <t>Denna sida är avsedda att fungera som underlag för att kopiera uppgifter i ÄFPmall</t>
  </si>
  <si>
    <t>Cell i ÄFPmall</t>
  </si>
  <si>
    <t>Andel tjur av vuxna, i Älgobs</t>
  </si>
  <si>
    <t>Antal kalvar per hondjur, i Älgobs</t>
  </si>
  <si>
    <t>OBS! Stryk eller ändra inga uppgifter i detta blad. Använd istället flik 3 och 4 för att ändra innehåll.</t>
  </si>
  <si>
    <t>Om utfall ej sammanfaller med  de mål ni har bör avskjutning anpassas så att utfall och ert mål sammanfaller.</t>
  </si>
  <si>
    <t xml:space="preserve">Uppgifter i punkt 1.1 beskriver förväntat utfall utifrån avskjutning i punkt 4.1. </t>
  </si>
  <si>
    <t>När du kopierar till planmallen, använd funktionerna Kopiera och Klistra in.</t>
  </si>
  <si>
    <t>Rovdjursförekomst</t>
  </si>
  <si>
    <t>Kod för region</t>
  </si>
  <si>
    <t>Antal skjutna vuxna tjurar</t>
  </si>
  <si>
    <t>Antal skjutna kalvar</t>
  </si>
  <si>
    <t>Antal skjutna vuxna hondjur</t>
  </si>
  <si>
    <t>Back Office</t>
  </si>
  <si>
    <t>Antal skjutna totalt</t>
  </si>
  <si>
    <t>Antal skjutna per 1000 ha</t>
  </si>
  <si>
    <t>Målsättning efter jakt</t>
  </si>
  <si>
    <t>Älgstam före jakt</t>
  </si>
  <si>
    <t>Älgstam efter jakt</t>
  </si>
  <si>
    <t>Andel tjurar</t>
  </si>
  <si>
    <t>Andel kor</t>
  </si>
  <si>
    <t>Andel kalvar</t>
  </si>
  <si>
    <t>Predation</t>
  </si>
  <si>
    <t>Hela året</t>
  </si>
  <si>
    <t>Vuxna</t>
  </si>
  <si>
    <t>Antal tjurar 2+</t>
  </si>
  <si>
    <t>Antal fjolårstjurar</t>
  </si>
  <si>
    <t>Antal kor 2+</t>
  </si>
  <si>
    <t>Antal fjolårskor</t>
  </si>
  <si>
    <t>Dödlighet av annat än jakt</t>
  </si>
  <si>
    <t>Populationen efter jakt</t>
  </si>
  <si>
    <t>Populationen inför jakt</t>
  </si>
  <si>
    <t>Populationen för beräkning av vargpredation</t>
  </si>
  <si>
    <t>Andel skjutna av vuxna tjurar</t>
  </si>
  <si>
    <t>Andel skjutna av vuxna hondjur</t>
  </si>
  <si>
    <t>Andel skjutna av kalvar</t>
  </si>
  <si>
    <t>Jaktdödlighet</t>
  </si>
  <si>
    <t>Andel</t>
  </si>
  <si>
    <t>Antal kalvar, efter jakt</t>
  </si>
  <si>
    <t>Andel kalvar, efter jakt</t>
  </si>
  <si>
    <t>Dödsrisk kalv, efter jakt</t>
  </si>
  <si>
    <t>Inventeringsmånad</t>
  </si>
  <si>
    <t>Förekomst av stationär björn</t>
  </si>
  <si>
    <t>Förekomst av stationär varg</t>
  </si>
  <si>
    <t/>
  </si>
  <si>
    <t>Antal björnar per 100 000 ha</t>
  </si>
  <si>
    <r>
      <t xml:space="preserve">Fyll i uppgifter i räknemodul </t>
    </r>
    <r>
      <rPr>
        <b/>
        <sz val="11"/>
        <color indexed="8"/>
        <rFont val="Arial"/>
        <family val="2"/>
      </rPr>
      <t>"Vargrevir i området"</t>
    </r>
    <r>
      <rPr>
        <sz val="11"/>
        <color theme="1"/>
        <rFont val="Arial"/>
        <family val="2"/>
      </rPr>
      <t>. Ange namn eller identitet på vargrevir som skall räknas med.</t>
    </r>
  </si>
  <si>
    <r>
      <t xml:space="preserve">Värden att överföra till blad 3 avläses i modul </t>
    </r>
    <r>
      <rPr>
        <b/>
        <sz val="11"/>
        <color indexed="8"/>
        <rFont val="Arial"/>
        <family val="2"/>
      </rPr>
      <t>"Predation i området"</t>
    </r>
    <r>
      <rPr>
        <sz val="11"/>
        <color theme="1"/>
        <rFont val="Arial"/>
        <family val="2"/>
      </rPr>
      <t>.</t>
    </r>
  </si>
  <si>
    <t>% kor av vuxna</t>
  </si>
  <si>
    <t>Populationsmodell</t>
  </si>
  <si>
    <t>Back track från flyginventering</t>
  </si>
  <si>
    <t>Indata predationsmodell</t>
  </si>
  <si>
    <t>Utdata predationsmodell</t>
  </si>
  <si>
    <t>Mängd vargrevir inom området</t>
  </si>
  <si>
    <t>Andel av revir inom området</t>
  </si>
  <si>
    <t>% älgko av predation</t>
  </si>
  <si>
    <r>
      <t xml:space="preserve">% av kalvpredation </t>
    </r>
    <r>
      <rPr>
        <i/>
        <sz val="10"/>
        <color indexed="8"/>
        <rFont val="Arial"/>
        <family val="2"/>
      </rPr>
      <t>före</t>
    </r>
    <r>
      <rPr>
        <sz val="10"/>
        <color indexed="8"/>
        <rFont val="Arial"/>
        <family val="2"/>
      </rPr>
      <t xml:space="preserve"> jaktstart</t>
    </r>
  </si>
  <si>
    <t>% älgkalv av predation</t>
  </si>
  <si>
    <t>% vuxna björnar i stammen</t>
  </si>
  <si>
    <t>Flockstorlek</t>
  </si>
  <si>
    <t>Predationshastighet per varg och månad vid mättnad</t>
  </si>
  <si>
    <t>Vinterlängd, månader</t>
  </si>
  <si>
    <t>Älgtäthet vid halva predationshastigheten</t>
  </si>
  <si>
    <t>Predationshastighet per varg och månad vid mättnad (a)</t>
  </si>
  <si>
    <t>Älgtäthet vid halva predationshastigheten (b)</t>
  </si>
  <si>
    <t>Björnstam och predation</t>
  </si>
  <si>
    <t>Älgstam och övrig dödlighet</t>
  </si>
  <si>
    <t>Back track</t>
  </si>
  <si>
    <t>Sommar, adulter</t>
  </si>
  <si>
    <t>Andel fjoling av predation</t>
  </si>
  <si>
    <t>Andel kalv  av predation</t>
  </si>
  <si>
    <t>Andel ko av predation</t>
  </si>
  <si>
    <t>Andel kalv av predation</t>
  </si>
  <si>
    <t>Andel tjur av predation</t>
  </si>
  <si>
    <t>Vargpredation, täthetsoberoende sommar</t>
  </si>
  <si>
    <t>Vargpredation, täthetsoberoende vinter</t>
  </si>
  <si>
    <t>Vargpredation, täthetsberoende vinter</t>
  </si>
  <si>
    <t>Vargpredation, täthetsoberoende totalt</t>
  </si>
  <si>
    <t>Andel älgko bland slagna vuxna</t>
  </si>
  <si>
    <t>Andel tjur bland slagna vuxna</t>
  </si>
  <si>
    <t>Andel adult ko av predation</t>
  </si>
  <si>
    <t>Andel adult tjur av predation</t>
  </si>
  <si>
    <t>Totalt exkl sommarkalv</t>
  </si>
  <si>
    <t>Första sommarpopulation</t>
  </si>
  <si>
    <t>Första vintern</t>
  </si>
  <si>
    <t>Antal kalvar efter jakt</t>
  </si>
  <si>
    <t>Antal kor efter jakt</t>
  </si>
  <si>
    <t>Antal tjurar efter jakt</t>
  </si>
  <si>
    <t xml:space="preserve">I Sverige, speciellt i södra delen, är det inte ovanligt att älgar som dör av annat än jakt kommer någon människa till kännedom. Men eftersom det inte finns något generellt krav på rapportering, trafikskador undantaget, blir antalet i de flesta fall osäkert. Genom forskning vet vi emellertid att jakt är den avgjort vanligaste dödsorsaken hos älg. Förutom jakt dör älgar av trafik, rovdjur, sjukdomar, svält, ålderdom, drunkning, fall m.m.  I rovdjursfri miljö är antalet vanligtsvis blygsamt jämfört med antalet som skjuts. Finns vargrevir och älgtätheten är låg kan varg vara en betydande dödsorsak.  De flesta älgar som tas av varg i Sverige är kalvar. Björn tar än mer sällsynt vuxna älgar och deras inverkan är främst på kalvar innan jaktstart. Med uppgifter på antal björnar i området och/eller förekomst av vargrevir finns en beräkningshjälp (Bilaga I) att skatta antal rovdjursdödade älgar i området. </t>
  </si>
  <si>
    <t>månad för jaktstart</t>
  </si>
  <si>
    <t>antal björnar i området</t>
  </si>
  <si>
    <t>Brukbar t o m</t>
  </si>
  <si>
    <t>Predation per helt revir</t>
  </si>
  <si>
    <t>Månad vinterstam</t>
  </si>
  <si>
    <t>Månad för angiven täthet</t>
  </si>
  <si>
    <t>Antal älgar per 1000 ha</t>
  </si>
  <si>
    <t>Månad angiven täthet</t>
  </si>
  <si>
    <t>Back track, korrektion för flygmånad</t>
  </si>
  <si>
    <t>Månad flyginventering</t>
  </si>
  <si>
    <t>Första vinterpopulation</t>
  </si>
  <si>
    <t>områdesstorlek och älgtäthet i området efter senaste jakt</t>
  </si>
  <si>
    <t>Modell och indata</t>
  </si>
  <si>
    <t>Vandring</t>
  </si>
  <si>
    <t xml:space="preserve">I norra Sverige förekommer vandring mellan sommar- och vinterområden. Detta innebär för det första att den jaktbara stammen inte är helt liktydig med den stam som finns vid jaktstart. För det andra så utgör vinterstam det antal älgar som finns i området i januari. Fler som vandrat in än som vandrat ut ger en förhöjd täthet och vice versa. </t>
  </si>
  <si>
    <t>Rättvisare prognoser kan erhållas om man även har bra skattningar på:</t>
  </si>
  <si>
    <t>Kom ihåg att ju längre fram man fjärrskådar desto osäkrare blir en prognos.</t>
  </si>
  <si>
    <t>Kvaliteten på indata, inte minst älgtäthet, har stor inverkan på resultat. Att använda osäkra eller statistiskt felaktiga indata kan vara sämre än att helt utelämna dessa. För att värdera kvaliteten på indata bör experthjälp anlitas.</t>
  </si>
  <si>
    <t>Programmet bygger på en tillväxtmodell anpassad att fungera tillsammans med indata som man vanligtvis kan förvänta sig ska finnas för ett förvaltningsområde med en egen älgstam. Modellen beaktar förändringar i andelen ettåriga hondjur i stammen och dess inverkan på hondjurens reproduktion. Modellen tar inte hänsyn till att överlevnad hos vuxna älgar beror av ålder, mellanårsvariationer eller att reproduktion påverkas negativt av ökad täthet i älgstammen. Eventuella effekter på stammens storlek och sammansättning som en följd av vandring beaktas ej vilket i förekommnande fall kan ge missvisande prognoser.</t>
  </si>
  <si>
    <t>Månad beräknad täthet</t>
  </si>
  <si>
    <t>Namn ok</t>
  </si>
  <si>
    <t>Efter senaste jakt</t>
  </si>
  <si>
    <t>Vid jaktstart</t>
  </si>
  <si>
    <t>Prognos: Älgar efter jakt (vinterstam)</t>
  </si>
  <si>
    <t>Avskjutning</t>
  </si>
  <si>
    <t>Senaste jakt</t>
  </si>
  <si>
    <t>Vinterstam</t>
  </si>
  <si>
    <t>B249-D249</t>
  </si>
  <si>
    <t>B250-D250</t>
  </si>
  <si>
    <t>B251-D251</t>
  </si>
  <si>
    <t>B46</t>
  </si>
  <si>
    <t>B47</t>
  </si>
  <si>
    <t>B48</t>
  </si>
  <si>
    <t>B42-D42</t>
  </si>
  <si>
    <t>C6</t>
  </si>
  <si>
    <r>
      <t>Fyll i alla orange celler (använd ej klipp och klistra).</t>
    </r>
    <r>
      <rPr>
        <b/>
        <sz val="11"/>
        <color indexed="8"/>
        <rFont val="Arial"/>
        <family val="2"/>
      </rPr>
      <t xml:space="preserve"> </t>
    </r>
    <r>
      <rPr>
        <sz val="11"/>
        <color theme="1"/>
        <rFont val="Arial"/>
        <family val="2"/>
      </rPr>
      <t>Orange celler måste visa svart text på ljus bakgrund för att en prognos ska erhållas.</t>
    </r>
  </si>
  <si>
    <t>Värden som används i modellberäkningen syns i celler med grå bakgrund.</t>
  </si>
  <si>
    <r>
      <t xml:space="preserve">Gå till fliken </t>
    </r>
    <r>
      <rPr>
        <i/>
        <sz val="11"/>
        <color indexed="8"/>
        <rFont val="Arial"/>
        <family val="2"/>
      </rPr>
      <t xml:space="preserve">4 Förslag på avskjutning. </t>
    </r>
    <r>
      <rPr>
        <sz val="11"/>
        <color indexed="8"/>
        <rFont val="Arial"/>
        <family val="2"/>
      </rPr>
      <t>Fyll i den tänkta avskjutningen för respektive år i den övre tabellen. Observera att endast orange celler kan fyllas i! Senaste årets avskjutning syns i första kolumnen med grå bakgrund. Beräkningen sker automatiskt och kan läsas av i diagram eller tabeller.</t>
    </r>
  </si>
  <si>
    <r>
      <t xml:space="preserve">Om mer detaljerade uppgifter rörande predation än antal björnar och/eller revirförekomst finns tillgängliga kan fliken </t>
    </r>
    <r>
      <rPr>
        <i/>
        <sz val="11"/>
        <color indexed="8"/>
        <rFont val="Arial"/>
        <family val="2"/>
      </rPr>
      <t>Bilaga I Beräkn.stöd predation</t>
    </r>
    <r>
      <rPr>
        <sz val="11"/>
        <color indexed="8"/>
        <rFont val="Arial"/>
        <family val="2"/>
      </rPr>
      <t xml:space="preserve"> användas. Överför beräknat antal älgar som tas av rovdjur till tabell i flik 3.</t>
    </r>
  </si>
  <si>
    <t>Nyheter i Älgfrode version 3.3</t>
  </si>
  <si>
    <t>Uppgifter för vilket område prognosberäkning avser samt när och av vem indata respektive prognos är utförd är nu nödvändig information. Fylls detta inte i erhålls ingen prognos.</t>
  </si>
  <si>
    <t>Område, datum, tidpunkt och signatur</t>
  </si>
  <si>
    <t>Utökat inmatningsstöd</t>
  </si>
  <si>
    <t>Älgstammen förändras i storlek under varje år som går. Begreppet vinterstam är definierat som älgtäthet i januari och med jaktårets hela jaktuttag avdraget. I Älgfrode är vinterstam, stam efter jakt och stam i januari uttryck för samma sak.</t>
  </si>
  <si>
    <t>Fler kommentarer i celler som skall förses med indata. Dessa indikeras som röda flikar i cellernas övre högra hörn och innehållet framträder om man för pekaren över respektive cell med röd flik.</t>
  </si>
  <si>
    <t>Begreppet vinterstam</t>
  </si>
  <si>
    <t>Data till ÄFPmall</t>
  </si>
  <si>
    <t>Data från Älgfrode som skall finnas med i länsstyrelsernas förvaltningsplan återfinns i Bilaga II Data till ÄFPmall. Referenserna till rader i ÄFPmall är reviderade.</t>
  </si>
  <si>
    <t xml:space="preserve">Fyll i olivgröna celler om uppgifter finns tillgängliga (använd ej klipp och klistra). Tomma celler innebär att schablonvärden hämtas. Förekomst av björn och/eller varg påverkat storleken på schablonvärdena. </t>
  </si>
  <si>
    <t>Områdets areal i ha</t>
  </si>
  <si>
    <t>Förbättrat stöd för att göra prognos</t>
  </si>
  <si>
    <t>Indikation på saknade eller orimliga värden förbättrad. Icke godkänd inmatning syns som mörkaorange bakgrund. Dessutom indikeras i tabell över prognos om en kategori utrotas med angivet uttag. Ett minustecken betyder överuttag.</t>
  </si>
  <si>
    <t xml:space="preserve">Fyll i gröna celler om uppgifter finns. Tomma fält innebär att genomsnittsvärden för region hämtas. </t>
  </si>
  <si>
    <t>Värden som används för att beräkna total predation syns i grå celler.</t>
  </si>
  <si>
    <t>Uppgifter på senste årets avskjutning och vinterstam syns i celler med grå bakgrund.</t>
  </si>
  <si>
    <t>Indata Bilaga I</t>
  </si>
  <si>
    <t>Back Office Bilaga I</t>
  </si>
  <si>
    <t>Kontrollera att areal och jaktstartsmånad i blad 3 är ifyllda. Saknas uppgifter kan ingen beräkning göras.</t>
  </si>
  <si>
    <t>Fyll i björntäthet och andel av respektive revir i området (använd ej klipp och klistra).</t>
  </si>
  <si>
    <r>
      <t>Fyll i alla orange celler</t>
    </r>
    <r>
      <rPr>
        <sz val="11"/>
        <rFont val="Arial"/>
        <family val="2"/>
      </rPr>
      <t xml:space="preserve"> (använd ej klipp och klistra</t>
    </r>
    <r>
      <rPr>
        <sz val="11"/>
        <color theme="1"/>
        <rFont val="Arial"/>
        <family val="2"/>
      </rPr>
      <t>). Orange celler måste visa svart text på ljus bakgrund för att en prognos ska erhållas. Höj/sänk värden så att mål uppnås. Minustecken på älgar efter jakt betyder överuttag.</t>
    </r>
  </si>
  <si>
    <t>Data ok</t>
  </si>
  <si>
    <t>Nyheter i Älgfrode version 3.4</t>
  </si>
  <si>
    <t>Datumspärr bortagen</t>
  </si>
  <si>
    <t>År för senaste jakt</t>
  </si>
  <si>
    <t>Från och med version 3.4 finns inget datum som innebär att Älgfrode därefter blockras för att göra prognoser.</t>
  </si>
  <si>
    <t>Godkända indata för rovdjur</t>
  </si>
  <si>
    <t>Värden som accepteras som indata på björntäthet är utökat till ett intevall mellan 0 och 99 björnar per 100 000 ha. Värden som kan anges i "Bilaga I Beräkn.stöd predation" på antalet älgar som ett vargrevir tar är utökat till ett intevall mellan 0 och 160 älgar per år.</t>
  </si>
  <si>
    <t>Parameter</t>
  </si>
  <si>
    <t>Min</t>
  </si>
  <si>
    <t>Max</t>
  </si>
  <si>
    <t xml:space="preserve"> % vuxna björnar i stammen</t>
  </si>
  <si>
    <t>% älgkalv av predation av björn</t>
  </si>
  <si>
    <t>% älgko av predation av björn</t>
  </si>
  <si>
    <t>Andel av vargrevir inom området</t>
  </si>
  <si>
    <t>Predation av varg per helt revir</t>
  </si>
  <si>
    <t>% älgkalv av predation av varg</t>
  </si>
  <si>
    <t>% älgko av predation av varg</t>
  </si>
  <si>
    <r>
      <t xml:space="preserve">% av kalvpredation av björn </t>
    </r>
    <r>
      <rPr>
        <sz val="11"/>
        <color indexed="8"/>
        <rFont val="Arial"/>
        <family val="2"/>
      </rPr>
      <t>före jaktstart</t>
    </r>
  </si>
  <si>
    <r>
      <t xml:space="preserve">% av kalvpredation av varg </t>
    </r>
    <r>
      <rPr>
        <sz val="11"/>
        <color indexed="8"/>
        <rFont val="Arial"/>
        <family val="2"/>
      </rPr>
      <t>före jaktstart</t>
    </r>
  </si>
  <si>
    <t>Dödlighet utöver jakt, Antal vuxna tjurar per år</t>
  </si>
  <si>
    <t>Dödlighet utöver jakt, Antal vuxna hondjur per år</t>
  </si>
  <si>
    <t>Dödlighet utöver jakt, Antal kalvar efter jaktstart per år</t>
  </si>
  <si>
    <t>Flyginventering, Antal kalvar per vuxet hondjur</t>
  </si>
  <si>
    <t>Avskjutning, % tjurkalv av alla kalvar</t>
  </si>
  <si>
    <t>Flyginventering, % tjur av vuxna</t>
  </si>
  <si>
    <t>Älgobs, Antal kalvar per vuxet hondjur</t>
  </si>
  <si>
    <t>Älgobs, % tjur av vuxna</t>
  </si>
  <si>
    <t>Älgstammens storlek, Antal älgar per 1000 ha</t>
  </si>
  <si>
    <t>Avskjutning, Antal kalvar</t>
  </si>
  <si>
    <t>Avskjutning, Antal vuxna tjurar</t>
  </si>
  <si>
    <r>
      <t>Avskjutning</t>
    </r>
    <r>
      <rPr>
        <b/>
        <sz val="11"/>
        <color indexed="8"/>
        <rFont val="Arial"/>
        <family val="2"/>
      </rPr>
      <t xml:space="preserve">, </t>
    </r>
    <r>
      <rPr>
        <sz val="11"/>
        <color indexed="8"/>
        <rFont val="Arial"/>
        <family val="2"/>
      </rPr>
      <t>Antal vuxna hondjur</t>
    </r>
  </si>
  <si>
    <t>Målsättning vinterstam, Antal älgar per 1000 ha</t>
  </si>
  <si>
    <t>Målsättning vinterstam, % tjur av vuxna</t>
  </si>
  <si>
    <t>Bilaga I Beräkn.stöd predation</t>
  </si>
  <si>
    <t>3 Förutsättningar</t>
  </si>
  <si>
    <t>5/100 000</t>
  </si>
  <si>
    <t>Antal älgar i vinterstam x 0,3</t>
  </si>
  <si>
    <t>100% - %predation älgkalv</t>
  </si>
  <si>
    <t>100%  - %predation älgko</t>
  </si>
  <si>
    <t>Innevarande år</t>
  </si>
  <si>
    <t>År för senaste jakt kan sättas till årtal mellan 2011 och innevarande år.</t>
  </si>
  <si>
    <t>3.5</t>
  </si>
  <si>
    <t>Stöde S:a ÄSO</t>
  </si>
  <si>
    <t>09.30</t>
  </si>
  <si>
    <t>Grubb</t>
  </si>
  <si>
    <t>10</t>
  </si>
  <si>
    <t>grubb</t>
  </si>
  <si>
    <t>2023-05-29</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</si>
</sst>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00\ _k_r_-;\-* #,##0.00\ _k_r_-;_-* &quot;-&quot;??\ _k_r_-;_-@_-"/>
    <numFmt numFmtId="165" formatCode="#,##0.0"/>
    <numFmt numFmtId="166" formatCode="0.0%"/>
    <numFmt numFmtId="167" formatCode="0.0"/>
    <numFmt numFmtId="168" formatCode="0.000"/>
    <numFmt numFmtId="169" formatCode="0.000%"/>
    <numFmt numFmtId="170" formatCode="yy/mm/dd;@"/>
    <numFmt numFmtId="171" formatCode="0.00000"/>
    <numFmt numFmtId="172" formatCode="0.00000%"/>
    <numFmt numFmtId="173" formatCode="hh:mm;@"/>
  </numFmts>
  <fonts count="98">
    <font>
      <sz val="11"/>
      <color theme="1"/>
      <name val="Arial"/>
      <family val="2"/>
    </font>
    <font>
      <sz val="11"/>
      <color indexed="8"/>
      <name val="Calibri"/>
      <family val="2"/>
    </font>
    <font>
      <b/>
      <sz val="18"/>
      <color indexed="52"/>
      <name val="Arial"/>
      <family val="2"/>
    </font>
    <font>
      <b/>
      <sz val="11"/>
      <color indexed="8"/>
      <name val="Arial"/>
      <family val="2"/>
    </font>
    <font>
      <sz val="11"/>
      <name val="Arial"/>
      <family val="2"/>
    </font>
    <font>
      <i/>
      <sz val="11"/>
      <color indexed="8"/>
      <name val="Arial"/>
      <family val="2"/>
    </font>
    <font>
      <sz val="11"/>
      <color indexed="8"/>
      <name val="Arial"/>
      <family val="2"/>
    </font>
    <font>
      <sz val="20"/>
      <color indexed="8"/>
      <name val="Calibri"/>
      <family val="2"/>
    </font>
    <font>
      <sz val="12"/>
      <name val="Arial"/>
      <family val="2"/>
    </font>
    <font>
      <b/>
      <sz val="10"/>
      <name val="Arial"/>
      <family val="2"/>
    </font>
    <font>
      <sz val="10"/>
      <name val="Arial"/>
      <family val="2"/>
    </font>
    <font>
      <sz val="10"/>
      <color indexed="10"/>
      <name val="Arial"/>
      <family val="2"/>
    </font>
    <font>
      <sz val="10"/>
      <color indexed="8"/>
      <name val="Arial"/>
      <family val="2"/>
    </font>
    <font>
      <sz val="11"/>
      <color indexed="10"/>
      <name val="Arial"/>
      <family val="2"/>
    </font>
    <font>
      <sz val="8"/>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color indexed="9"/>
      <name val="Arial"/>
      <family val="2"/>
    </font>
    <font>
      <i/>
      <sz val="10"/>
      <name val="Arial"/>
      <family val="2"/>
    </font>
    <font>
      <sz val="9"/>
      <name val="Arial"/>
      <family val="2"/>
    </font>
    <font>
      <b/>
      <sz val="10"/>
      <color indexed="60"/>
      <name val="Arial"/>
      <family val="2"/>
    </font>
    <font>
      <sz val="8"/>
      <name val="Tahoma"/>
      <family val="2"/>
    </font>
    <font>
      <b/>
      <sz val="8"/>
      <name val="Tahoma"/>
      <family val="2"/>
    </font>
    <font>
      <i/>
      <sz val="10"/>
      <color indexed="8"/>
      <name val="Arial"/>
      <family val="2"/>
    </font>
    <font>
      <b/>
      <sz val="12"/>
      <name val="Arial"/>
      <family val="2"/>
    </font>
    <font>
      <b/>
      <sz val="12"/>
      <color indexed="8"/>
      <name val="Arial"/>
      <family val="2"/>
    </font>
    <font>
      <sz val="5"/>
      <color indexed="8"/>
      <name val="Arial"/>
      <family val="2"/>
    </font>
    <font>
      <sz val="6"/>
      <name val="Arial"/>
      <family val="2"/>
    </font>
    <font>
      <b/>
      <sz val="9"/>
      <name val="Tahoma"/>
      <family val="2"/>
    </font>
    <font>
      <b/>
      <sz val="10"/>
      <name val="Tahoma"/>
      <family val="2"/>
    </font>
    <font>
      <sz val="10"/>
      <name val="Tahoma"/>
      <family val="2"/>
    </font>
    <font>
      <sz val="9"/>
      <name val="Tahoma"/>
      <family val="2"/>
    </font>
    <font>
      <sz val="10"/>
      <color indexed="9"/>
      <name val="Arial"/>
      <family val="2"/>
    </font>
    <font>
      <b/>
      <u val="single"/>
      <sz val="10"/>
      <name val="Tahoma"/>
      <family val="2"/>
    </font>
    <font>
      <b/>
      <sz val="18"/>
      <name val="Arial"/>
      <family val="2"/>
    </font>
    <font>
      <b/>
      <i/>
      <sz val="9"/>
      <name val="Tahoma"/>
      <family val="2"/>
    </font>
    <font>
      <sz val="11"/>
      <color indexed="9"/>
      <name val="Arial"/>
      <family val="2"/>
    </font>
    <font>
      <sz val="6.3"/>
      <color indexed="8"/>
      <name val="Arial"/>
      <family val="0"/>
    </font>
    <font>
      <sz val="18"/>
      <color indexed="56"/>
      <name val="Cambria"/>
      <family val="2"/>
    </font>
    <font>
      <sz val="9"/>
      <color indexed="8"/>
      <name val="Arial"/>
      <family val="2"/>
    </font>
    <font>
      <b/>
      <sz val="10"/>
      <color indexed="10"/>
      <name val="Arial"/>
      <family val="2"/>
    </font>
    <font>
      <b/>
      <sz val="16"/>
      <color indexed="8"/>
      <name val="Arial"/>
      <family val="2"/>
    </font>
    <font>
      <b/>
      <sz val="10"/>
      <color indexed="8"/>
      <name val="Arial"/>
      <family val="2"/>
    </font>
    <font>
      <sz val="6"/>
      <color indexed="8"/>
      <name val="Arial"/>
      <family val="2"/>
    </font>
    <font>
      <sz val="6"/>
      <color indexed="9"/>
      <name val="Arial"/>
      <family val="2"/>
    </font>
    <font>
      <sz val="8"/>
      <color indexed="8"/>
      <name val="Arial"/>
      <family val="2"/>
    </font>
    <font>
      <sz val="11"/>
      <color indexed="22"/>
      <name val="Arial"/>
      <family val="2"/>
    </font>
    <font>
      <sz val="11"/>
      <name val="Calibri"/>
      <family val="2"/>
    </font>
    <font>
      <b/>
      <sz val="26"/>
      <color indexed="52"/>
      <name val="Arial"/>
      <family val="0"/>
    </font>
    <font>
      <b/>
      <sz val="20"/>
      <color indexed="52"/>
      <name val="Arial"/>
      <family val="0"/>
    </font>
    <font>
      <b/>
      <sz val="12"/>
      <color indexed="52"/>
      <name val="Arial"/>
      <family val="0"/>
    </font>
    <font>
      <b/>
      <sz val="14"/>
      <color indexed="8"/>
      <name val="Calibri"/>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9"/>
      <color theme="1"/>
      <name val="Arial"/>
      <family val="2"/>
    </font>
    <font>
      <sz val="11"/>
      <color theme="0"/>
      <name val="Arial"/>
      <family val="2"/>
    </font>
    <font>
      <sz val="10"/>
      <color theme="1"/>
      <name val="Arial"/>
      <family val="2"/>
    </font>
    <font>
      <sz val="5"/>
      <color theme="1"/>
      <name val="Arial"/>
      <family val="2"/>
    </font>
    <font>
      <b/>
      <sz val="10"/>
      <color theme="0"/>
      <name val="Arial"/>
      <family val="2"/>
    </font>
    <font>
      <b/>
      <sz val="11"/>
      <color theme="1"/>
      <name val="Arial"/>
      <family val="2"/>
    </font>
    <font>
      <b/>
      <sz val="10"/>
      <color rgb="FFFF0000"/>
      <name val="Arial"/>
      <family val="2"/>
    </font>
    <font>
      <b/>
      <sz val="12"/>
      <color theme="1"/>
      <name val="Arial"/>
      <family val="2"/>
    </font>
    <font>
      <b/>
      <sz val="16"/>
      <color theme="1"/>
      <name val="Arial"/>
      <family val="2"/>
    </font>
    <font>
      <b/>
      <sz val="10"/>
      <color theme="1"/>
      <name val="Arial"/>
      <family val="2"/>
    </font>
    <font>
      <sz val="6"/>
      <color theme="1"/>
      <name val="Arial"/>
      <family val="2"/>
    </font>
    <font>
      <sz val="6"/>
      <color theme="0"/>
      <name val="Arial"/>
      <family val="2"/>
    </font>
    <font>
      <sz val="8"/>
      <color theme="1"/>
      <name val="Arial"/>
      <family val="2"/>
    </font>
    <font>
      <sz val="11"/>
      <color theme="0" tint="-0.04997999966144562"/>
      <name val="Arial"/>
      <family val="2"/>
    </font>
    <font>
      <b/>
      <sz val="8"/>
      <name val="Arial"/>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FFCC"/>
        <bgColor indexed="64"/>
      </patternFill>
    </fill>
    <fill>
      <patternFill patternType="solid">
        <fgColor indexed="26"/>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bgColor indexed="64"/>
      </patternFill>
    </fill>
    <fill>
      <patternFill patternType="solid">
        <fgColor rgb="FFFF9900"/>
        <bgColor indexed="64"/>
      </patternFill>
    </fill>
    <fill>
      <patternFill patternType="solid">
        <fgColor rgb="FFFFFF00"/>
        <bgColor indexed="64"/>
      </patternFill>
    </fill>
    <fill>
      <patternFill patternType="lightGray">
        <fgColor theme="0" tint="-0.24993999302387238"/>
      </patternFill>
    </fill>
    <fill>
      <patternFill patternType="solid">
        <fgColor theme="6" tint="-0.24997000396251678"/>
        <bgColor indexed="64"/>
      </patternFill>
    </fill>
    <fill>
      <patternFill patternType="solid">
        <fgColor rgb="FFFF0000"/>
        <bgColor indexed="64"/>
      </patternFill>
    </fill>
    <fill>
      <patternFill patternType="solid">
        <fgColor rgb="FFFFFF99"/>
        <bgColor indexed="64"/>
      </patternFill>
    </fill>
    <fill>
      <patternFill patternType="solid">
        <fgColor rgb="FFFF99FF"/>
        <bgColor indexed="64"/>
      </patternFill>
    </fill>
    <fill>
      <patternFill patternType="solid">
        <fgColor rgb="FFFF66FF"/>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medium"/>
      <bottom style="thin"/>
    </border>
    <border>
      <left style="thin"/>
      <right/>
      <top style="thin"/>
      <bottom style="thin"/>
    </border>
    <border>
      <left style="thin"/>
      <right/>
      <top style="thin"/>
      <bottom style="medium"/>
    </border>
    <border>
      <left/>
      <right/>
      <top style="medium"/>
      <bottom style="thin"/>
    </border>
    <border>
      <left/>
      <right/>
      <top style="medium"/>
      <bottom/>
    </border>
    <border>
      <left/>
      <right/>
      <top style="thin"/>
      <bottom style="thin"/>
    </border>
    <border>
      <left/>
      <right/>
      <top style="thin"/>
      <bottom style="medium"/>
    </border>
    <border>
      <left style="thin"/>
      <right style="thin"/>
      <top/>
      <bottom style="thin"/>
    </border>
    <border>
      <left/>
      <right style="thin"/>
      <top/>
      <bottom style="thin"/>
    </border>
    <border>
      <left style="thin"/>
      <right style="thin"/>
      <top style="thin"/>
      <bottom style="thin"/>
    </border>
    <border>
      <left/>
      <right/>
      <top/>
      <bottom style="medium"/>
    </border>
    <border>
      <left style="thin"/>
      <right style="thin"/>
      <top style="thin"/>
      <bottom style="medium"/>
    </border>
    <border>
      <left style="thin"/>
      <right style="thin"/>
      <top style="medium"/>
      <bottom style="medium"/>
    </border>
    <border>
      <left/>
      <right/>
      <top style="medium"/>
      <bottom style="medium"/>
    </border>
    <border>
      <left style="thin"/>
      <right style="thin"/>
      <top/>
      <bottom style="medium"/>
    </border>
    <border>
      <left/>
      <right style="thin"/>
      <top style="thin"/>
      <bottom style="thin"/>
    </border>
    <border>
      <left/>
      <right/>
      <top style="thin"/>
      <bottom/>
    </border>
    <border>
      <left/>
      <right/>
      <top/>
      <bottom style="thin"/>
    </border>
    <border>
      <left style="thin"/>
      <right/>
      <top/>
      <bottom style="thin"/>
    </border>
    <border>
      <left style="thin"/>
      <right/>
      <top/>
      <bottom style="medium"/>
    </border>
    <border>
      <left style="thin"/>
      <right/>
      <top style="medium"/>
      <bottom style="medium"/>
    </border>
    <border>
      <left/>
      <right style="thin"/>
      <top style="thin"/>
      <bottom style="medium"/>
    </border>
    <border>
      <left/>
      <right style="thin"/>
      <top/>
      <bottom style="medium"/>
    </border>
    <border>
      <left/>
      <right style="thin"/>
      <top style="medium"/>
      <bottom style="medium"/>
    </border>
    <border>
      <left style="thin"/>
      <right/>
      <top/>
      <bottom/>
    </border>
    <border>
      <left/>
      <right style="thin"/>
      <top style="thin"/>
      <bottom/>
    </border>
    <border>
      <left style="thin"/>
      <right style="thin"/>
      <top style="thin"/>
      <bottom/>
    </border>
    <border>
      <left/>
      <right/>
      <top/>
      <bottom style="double"/>
    </border>
    <border>
      <left/>
      <right/>
      <top style="double"/>
      <bottom style="thin"/>
    </border>
    <border>
      <left/>
      <right/>
      <top/>
      <bottom style="dashed"/>
    </border>
    <border>
      <left/>
      <right/>
      <top style="double"/>
      <bottom style="dashed"/>
    </border>
    <border>
      <left style="thin"/>
      <right/>
      <top style="thin"/>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15" fillId="3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0" fillId="34" borderId="1" applyNumberFormat="0" applyFont="0" applyAlignment="0" applyProtection="0"/>
    <xf numFmtId="0" fontId="6" fillId="35" borderId="2" applyNumberFormat="0" applyFont="0" applyAlignment="0" applyProtection="0"/>
    <xf numFmtId="0" fontId="67" fillId="36" borderId="3" applyNumberFormat="0" applyAlignment="0" applyProtection="0"/>
    <xf numFmtId="0" fontId="16" fillId="37" borderId="4" applyNumberFormat="0" applyAlignment="0" applyProtection="0"/>
    <xf numFmtId="0" fontId="68" fillId="38" borderId="0" applyNumberFormat="0" applyBorder="0" applyAlignment="0" applyProtection="0"/>
    <xf numFmtId="0" fontId="17" fillId="10" borderId="0" applyNumberFormat="0" applyBorder="0" applyAlignment="0" applyProtection="0"/>
    <xf numFmtId="0" fontId="69"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4" borderId="0" applyNumberFormat="0" applyBorder="0" applyAlignment="0" applyProtection="0"/>
    <xf numFmtId="0" fontId="70" fillId="45" borderId="0" applyNumberFormat="0" applyBorder="0" applyAlignment="0" applyProtection="0"/>
    <xf numFmtId="0" fontId="18" fillId="9"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49" borderId="0" applyNumberFormat="0" applyBorder="0" applyAlignment="0" applyProtection="0"/>
    <xf numFmtId="0" fontId="71" fillId="0" borderId="0" applyNumberFormat="0" applyFill="0" applyBorder="0" applyAlignment="0" applyProtection="0"/>
    <xf numFmtId="0" fontId="19" fillId="0" borderId="0" applyNumberFormat="0" applyFill="0" applyBorder="0" applyAlignment="0" applyProtection="0"/>
    <xf numFmtId="0" fontId="72" fillId="50" borderId="3" applyNumberFormat="0" applyAlignment="0" applyProtection="0"/>
    <xf numFmtId="0" fontId="20" fillId="13" borderId="4" applyNumberFormat="0" applyAlignment="0" applyProtection="0"/>
    <xf numFmtId="0" fontId="73" fillId="51" borderId="5" applyNumberFormat="0" applyAlignment="0" applyProtection="0"/>
    <xf numFmtId="0" fontId="21" fillId="52" borderId="6" applyNumberFormat="0" applyAlignment="0" applyProtection="0"/>
    <xf numFmtId="0" fontId="74" fillId="0" borderId="7" applyNumberFormat="0" applyFill="0" applyAlignment="0" applyProtection="0"/>
    <xf numFmtId="0" fontId="22" fillId="0" borderId="8" applyNumberFormat="0" applyFill="0" applyAlignment="0" applyProtection="0"/>
    <xf numFmtId="0" fontId="75" fillId="53" borderId="0" applyNumberFormat="0" applyBorder="0" applyAlignment="0" applyProtection="0"/>
    <xf numFmtId="0" fontId="23" fillId="54" borderId="0" applyNumberFormat="0" applyBorder="0" applyAlignment="0" applyProtection="0"/>
    <xf numFmtId="0" fontId="10" fillId="0" borderId="0">
      <alignment/>
      <protection/>
    </xf>
    <xf numFmtId="0" fontId="6" fillId="0" borderId="0">
      <alignment/>
      <protection/>
    </xf>
    <xf numFmtId="0" fontId="66" fillId="0" borderId="0">
      <alignment/>
      <protection/>
    </xf>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6"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25" fillId="0" borderId="10" applyNumberFormat="0" applyFill="0" applyAlignment="0" applyProtection="0"/>
    <xf numFmtId="0" fontId="78" fillId="0" borderId="11" applyNumberFormat="0" applyFill="0" applyAlignment="0" applyProtection="0"/>
    <xf numFmtId="0" fontId="26" fillId="0" borderId="12" applyNumberFormat="0" applyFill="0" applyAlignment="0" applyProtection="0"/>
    <xf numFmtId="0" fontId="79" fillId="0" borderId="13" applyNumberFormat="0" applyFill="0" applyAlignment="0" applyProtection="0"/>
    <xf numFmtId="0" fontId="27" fillId="0" borderId="14" applyNumberFormat="0" applyFill="0" applyAlignment="0" applyProtection="0"/>
    <xf numFmtId="0" fontId="79"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80" fillId="0" borderId="15" applyNumberFormat="0" applyFill="0" applyAlignment="0" applyProtection="0"/>
    <xf numFmtId="0" fontId="28"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10" fillId="0" borderId="0" applyFont="0" applyFill="0" applyBorder="0" applyAlignment="0" applyProtection="0"/>
    <xf numFmtId="0" fontId="81" fillId="36" borderId="17" applyNumberFormat="0" applyAlignment="0" applyProtection="0"/>
    <xf numFmtId="0" fontId="29" fillId="37"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30" fillId="0" borderId="0" applyNumberFormat="0" applyFill="0" applyBorder="0" applyAlignment="0" applyProtection="0"/>
  </cellStyleXfs>
  <cellXfs count="548">
    <xf numFmtId="0" fontId="0" fillId="0" borderId="0" xfId="0" applyAlignment="1">
      <alignment/>
    </xf>
    <xf numFmtId="0" fontId="0" fillId="33" borderId="0" xfId="0" applyFill="1" applyAlignment="1" applyProtection="1">
      <alignment/>
      <protection hidden="1"/>
    </xf>
    <xf numFmtId="0" fontId="0" fillId="37" borderId="0" xfId="0" applyFill="1" applyAlignment="1" applyProtection="1">
      <alignment/>
      <protection hidden="1"/>
    </xf>
    <xf numFmtId="0" fontId="0" fillId="0" borderId="0" xfId="0" applyAlignment="1" applyProtection="1">
      <alignment/>
      <protection hidden="1"/>
    </xf>
    <xf numFmtId="0" fontId="0" fillId="33" borderId="0" xfId="0" applyFill="1" applyAlignment="1">
      <alignment/>
    </xf>
    <xf numFmtId="0" fontId="0" fillId="37" borderId="0" xfId="0" applyFill="1" applyAlignment="1">
      <alignment/>
    </xf>
    <xf numFmtId="0" fontId="2" fillId="0" borderId="0" xfId="0" applyFont="1" applyAlignment="1">
      <alignment horizontal="center"/>
    </xf>
    <xf numFmtId="0" fontId="7" fillId="0" borderId="0" xfId="0" applyFont="1" applyAlignment="1">
      <alignment horizontal="right" vertical="center"/>
    </xf>
    <xf numFmtId="0" fontId="7" fillId="0" borderId="0" xfId="0" applyFont="1" applyAlignment="1">
      <alignment horizontal="right" vertical="top"/>
    </xf>
    <xf numFmtId="0" fontId="0" fillId="0" borderId="0" xfId="0" applyAlignment="1">
      <alignment horizontal="center"/>
    </xf>
    <xf numFmtId="0" fontId="3" fillId="0" borderId="0" xfId="0" applyFont="1" applyAlignment="1">
      <alignment/>
    </xf>
    <xf numFmtId="0" fontId="4" fillId="0" borderId="0" xfId="0" applyFont="1" applyAlignment="1">
      <alignment vertical="center"/>
    </xf>
    <xf numFmtId="0" fontId="0" fillId="0" borderId="0" xfId="83" applyFont="1">
      <alignment/>
      <protection/>
    </xf>
    <xf numFmtId="0" fontId="31" fillId="55" borderId="19" xfId="82" applyFont="1" applyFill="1" applyBorder="1" applyAlignment="1" applyProtection="1">
      <alignment horizontal="center"/>
      <protection locked="0"/>
    </xf>
    <xf numFmtId="0" fontId="31" fillId="55" borderId="20" xfId="82" applyFont="1" applyFill="1" applyBorder="1" applyAlignment="1" applyProtection="1">
      <alignment horizontal="center"/>
      <protection locked="0"/>
    </xf>
    <xf numFmtId="0" fontId="31" fillId="55" borderId="21" xfId="82" applyFont="1" applyFill="1" applyBorder="1" applyAlignment="1" applyProtection="1">
      <alignment horizontal="center"/>
      <protection locked="0"/>
    </xf>
    <xf numFmtId="167" fontId="10" fillId="56" borderId="22" xfId="82" applyNumberFormat="1" applyFont="1" applyFill="1" applyBorder="1" applyAlignment="1">
      <alignment horizontal="center"/>
      <protection/>
    </xf>
    <xf numFmtId="1" fontId="10" fillId="56" borderId="23" xfId="82" applyNumberFormat="1" applyFont="1" applyFill="1" applyBorder="1" applyAlignment="1">
      <alignment horizontal="center"/>
      <protection/>
    </xf>
    <xf numFmtId="1" fontId="10" fillId="56" borderId="24" xfId="82" applyNumberFormat="1" applyFont="1" applyFill="1" applyBorder="1" applyAlignment="1">
      <alignment horizontal="center"/>
      <protection/>
    </xf>
    <xf numFmtId="1" fontId="10" fillId="56" borderId="25" xfId="82" applyNumberFormat="1" applyFont="1" applyFill="1" applyBorder="1" applyAlignment="1">
      <alignment horizontal="center"/>
      <protection/>
    </xf>
    <xf numFmtId="0" fontId="9" fillId="0" borderId="26" xfId="82" applyFont="1" applyBorder="1" applyAlignment="1">
      <alignment horizontal="center"/>
      <protection/>
    </xf>
    <xf numFmtId="0" fontId="9" fillId="0" borderId="27" xfId="82" applyFont="1" applyBorder="1">
      <alignment/>
      <protection/>
    </xf>
    <xf numFmtId="0" fontId="10" fillId="0" borderId="28" xfId="82" applyFont="1" applyBorder="1" applyAlignment="1">
      <alignment vertical="center"/>
      <protection/>
    </xf>
    <xf numFmtId="0" fontId="0" fillId="0" borderId="0" xfId="0" applyAlignment="1">
      <alignment wrapText="1"/>
    </xf>
    <xf numFmtId="0" fontId="0" fillId="0" borderId="0" xfId="0" applyAlignment="1">
      <alignment horizontal="left" vertical="center"/>
    </xf>
    <xf numFmtId="0" fontId="0" fillId="57" borderId="0" xfId="0" applyFill="1" applyAlignment="1">
      <alignment horizontal="center"/>
    </xf>
    <xf numFmtId="0" fontId="0" fillId="57" borderId="0" xfId="0" applyFill="1" applyAlignment="1">
      <alignment/>
    </xf>
    <xf numFmtId="0" fontId="0" fillId="57" borderId="0" xfId="0" applyFill="1" applyAlignment="1" applyProtection="1">
      <alignment/>
      <protection hidden="1"/>
    </xf>
    <xf numFmtId="0" fontId="3" fillId="57" borderId="0" xfId="0" applyFont="1" applyFill="1" applyAlignment="1">
      <alignment horizontal="left" readingOrder="1"/>
    </xf>
    <xf numFmtId="0" fontId="7" fillId="57" borderId="0" xfId="0" applyFont="1" applyFill="1" applyAlignment="1">
      <alignment horizontal="center" vertical="center"/>
    </xf>
    <xf numFmtId="0" fontId="6" fillId="57" borderId="0" xfId="0" applyFont="1" applyFill="1" applyAlignment="1">
      <alignment horizontal="left" vertical="center" readingOrder="1"/>
    </xf>
    <xf numFmtId="0" fontId="0" fillId="57" borderId="0" xfId="0" applyFill="1" applyAlignment="1">
      <alignment horizontal="left" vertical="center"/>
    </xf>
    <xf numFmtId="0" fontId="0" fillId="57" borderId="0" xfId="83" applyFont="1" applyFill="1">
      <alignment/>
      <protection/>
    </xf>
    <xf numFmtId="0" fontId="9" fillId="57" borderId="29" xfId="82" applyFont="1" applyFill="1" applyBorder="1" applyAlignment="1">
      <alignment vertical="center"/>
      <protection/>
    </xf>
    <xf numFmtId="0" fontId="10" fillId="57" borderId="29" xfId="82" applyFont="1" applyFill="1" applyBorder="1" applyAlignment="1">
      <alignment horizontal="center"/>
      <protection/>
    </xf>
    <xf numFmtId="0" fontId="10" fillId="57" borderId="0" xfId="82" applyFont="1" applyFill="1" applyAlignment="1">
      <alignment vertical="center"/>
      <protection/>
    </xf>
    <xf numFmtId="0" fontId="33" fillId="57" borderId="29" xfId="82" applyFont="1" applyFill="1" applyBorder="1" applyAlignment="1">
      <alignment horizontal="center"/>
      <protection/>
    </xf>
    <xf numFmtId="0" fontId="33" fillId="57" borderId="0" xfId="82" applyFont="1" applyFill="1" applyAlignment="1">
      <alignment horizontal="center"/>
      <protection/>
    </xf>
    <xf numFmtId="0" fontId="66" fillId="57" borderId="0" xfId="83" applyFill="1">
      <alignment/>
      <protection/>
    </xf>
    <xf numFmtId="0" fontId="3" fillId="57" borderId="0" xfId="0" applyFont="1" applyFill="1" applyAlignment="1">
      <alignment/>
    </xf>
    <xf numFmtId="0" fontId="6" fillId="57" borderId="0" xfId="82" applyFill="1">
      <alignment/>
      <protection/>
    </xf>
    <xf numFmtId="0" fontId="8" fillId="57" borderId="0" xfId="82" applyFont="1" applyFill="1" applyAlignment="1">
      <alignment horizontal="center" vertical="center"/>
      <protection/>
    </xf>
    <xf numFmtId="1" fontId="8" fillId="57" borderId="0" xfId="82" applyNumberFormat="1" applyFont="1" applyFill="1" applyAlignment="1">
      <alignment horizontal="center" vertical="center"/>
      <protection/>
    </xf>
    <xf numFmtId="0" fontId="9" fillId="57" borderId="0" xfId="82" applyFont="1" applyFill="1" applyAlignment="1">
      <alignment vertical="center"/>
      <protection/>
    </xf>
    <xf numFmtId="1" fontId="9" fillId="57" borderId="0" xfId="82" applyNumberFormat="1" applyFont="1" applyFill="1" applyAlignment="1">
      <alignment horizontal="center" vertical="center"/>
      <protection/>
    </xf>
    <xf numFmtId="0" fontId="8" fillId="57" borderId="0" xfId="82" applyFont="1" applyFill="1" applyAlignment="1">
      <alignment horizontal="left" vertical="center"/>
      <protection/>
    </xf>
    <xf numFmtId="1" fontId="8" fillId="57" borderId="0" xfId="82" applyNumberFormat="1" applyFont="1" applyFill="1" applyAlignment="1">
      <alignment horizontal="left" vertical="center"/>
      <protection/>
    </xf>
    <xf numFmtId="0" fontId="66" fillId="0" borderId="0" xfId="83">
      <alignment/>
      <protection/>
    </xf>
    <xf numFmtId="3" fontId="10" fillId="57" borderId="28" xfId="82" applyNumberFormat="1" applyFont="1" applyFill="1" applyBorder="1" applyAlignment="1">
      <alignment horizontal="center" vertical="center"/>
      <protection/>
    </xf>
    <xf numFmtId="1" fontId="9" fillId="57" borderId="29" xfId="82" applyNumberFormat="1" applyFont="1" applyFill="1" applyBorder="1" applyAlignment="1">
      <alignment horizontal="center" vertical="center"/>
      <protection/>
    </xf>
    <xf numFmtId="165" fontId="9" fillId="57" borderId="26" xfId="82" applyNumberFormat="1" applyFont="1" applyFill="1" applyBorder="1" applyAlignment="1">
      <alignment horizontal="center" vertical="center"/>
      <protection/>
    </xf>
    <xf numFmtId="3" fontId="10" fillId="57" borderId="26" xfId="82" applyNumberFormat="1" applyFont="1" applyFill="1" applyBorder="1" applyAlignment="1">
      <alignment horizontal="center" vertical="center"/>
      <protection/>
    </xf>
    <xf numFmtId="3" fontId="10" fillId="57" borderId="30" xfId="82" applyNumberFormat="1" applyFont="1" applyFill="1" applyBorder="1" applyAlignment="1">
      <alignment horizontal="center" vertical="center"/>
      <protection/>
    </xf>
    <xf numFmtId="1" fontId="9" fillId="57" borderId="31" xfId="0" applyNumberFormat="1" applyFont="1" applyFill="1" applyBorder="1" applyAlignment="1">
      <alignment horizontal="center" vertical="center"/>
    </xf>
    <xf numFmtId="0" fontId="66" fillId="57" borderId="32" xfId="83" applyFill="1" applyBorder="1">
      <alignment/>
      <protection/>
    </xf>
    <xf numFmtId="1" fontId="10" fillId="56" borderId="22" xfId="82" applyNumberFormat="1" applyFont="1" applyFill="1" applyBorder="1" applyAlignment="1">
      <alignment horizontal="center"/>
      <protection/>
    </xf>
    <xf numFmtId="0" fontId="10" fillId="56" borderId="23" xfId="82" applyFont="1" applyFill="1" applyBorder="1" applyAlignment="1">
      <alignment horizontal="center"/>
      <protection/>
    </xf>
    <xf numFmtId="0" fontId="10" fillId="56" borderId="24" xfId="82" applyFont="1" applyFill="1" applyBorder="1" applyAlignment="1">
      <alignment horizontal="center"/>
      <protection/>
    </xf>
    <xf numFmtId="0" fontId="10" fillId="56" borderId="25" xfId="82" applyFont="1" applyFill="1" applyBorder="1" applyAlignment="1">
      <alignment horizontal="center"/>
      <protection/>
    </xf>
    <xf numFmtId="0" fontId="83" fillId="57" borderId="29" xfId="83" applyFont="1" applyFill="1" applyBorder="1" applyAlignment="1">
      <alignment horizontal="center"/>
      <protection/>
    </xf>
    <xf numFmtId="9" fontId="10" fillId="56" borderId="29" xfId="87" applyFont="1" applyFill="1" applyBorder="1" applyAlignment="1" applyProtection="1">
      <alignment horizontal="center"/>
      <protection/>
    </xf>
    <xf numFmtId="0" fontId="0" fillId="57" borderId="0" xfId="83" applyFont="1" applyFill="1" applyProtection="1">
      <alignment/>
      <protection hidden="1"/>
    </xf>
    <xf numFmtId="0" fontId="0" fillId="57" borderId="29" xfId="83" applyFont="1" applyFill="1" applyBorder="1" applyProtection="1">
      <alignment/>
      <protection hidden="1"/>
    </xf>
    <xf numFmtId="3" fontId="10" fillId="57" borderId="33" xfId="82" applyNumberFormat="1" applyFont="1" applyFill="1" applyBorder="1" applyAlignment="1">
      <alignment horizontal="center" vertical="center"/>
      <protection/>
    </xf>
    <xf numFmtId="1" fontId="10" fillId="57" borderId="33" xfId="82" applyNumberFormat="1" applyFont="1" applyFill="1" applyBorder="1" applyAlignment="1">
      <alignment horizontal="center" vertical="center"/>
      <protection/>
    </xf>
    <xf numFmtId="1" fontId="84" fillId="57" borderId="0" xfId="0" applyNumberFormat="1" applyFont="1" applyFill="1" applyAlignment="1">
      <alignment/>
    </xf>
    <xf numFmtId="0" fontId="38" fillId="57" borderId="0" xfId="82" applyFont="1" applyFill="1" applyAlignment="1">
      <alignment vertical="center"/>
      <protection/>
    </xf>
    <xf numFmtId="0" fontId="39" fillId="57" borderId="0" xfId="82" applyFont="1" applyFill="1" applyAlignment="1">
      <alignment vertical="center"/>
      <protection/>
    </xf>
    <xf numFmtId="9" fontId="9" fillId="57" borderId="30" xfId="87" applyFont="1" applyFill="1" applyBorder="1" applyAlignment="1" applyProtection="1">
      <alignment horizontal="center"/>
      <protection/>
    </xf>
    <xf numFmtId="9" fontId="31" fillId="55" borderId="22" xfId="86" applyFont="1" applyFill="1" applyBorder="1" applyAlignment="1" applyProtection="1">
      <alignment horizontal="center"/>
      <protection locked="0"/>
    </xf>
    <xf numFmtId="0" fontId="85" fillId="0" borderId="0" xfId="0" applyFont="1" applyAlignment="1">
      <alignment/>
    </xf>
    <xf numFmtId="0" fontId="10" fillId="0" borderId="28" xfId="0" applyFont="1" applyBorder="1" applyAlignment="1">
      <alignment/>
    </xf>
    <xf numFmtId="0" fontId="85" fillId="0" borderId="27" xfId="83" applyFont="1" applyBorder="1">
      <alignment/>
      <protection/>
    </xf>
    <xf numFmtId="0" fontId="85" fillId="0" borderId="34" xfId="83" applyFont="1" applyBorder="1">
      <alignment/>
      <protection/>
    </xf>
    <xf numFmtId="1" fontId="10" fillId="57" borderId="28" xfId="82" applyNumberFormat="1" applyFont="1" applyFill="1" applyBorder="1" applyAlignment="1">
      <alignment horizontal="center"/>
      <protection/>
    </xf>
    <xf numFmtId="1" fontId="10" fillId="57" borderId="30" xfId="82" applyNumberFormat="1" applyFont="1" applyFill="1" applyBorder="1" applyAlignment="1">
      <alignment horizontal="center"/>
      <protection/>
    </xf>
    <xf numFmtId="0" fontId="86" fillId="57" borderId="0" xfId="83" applyFont="1" applyFill="1">
      <alignment/>
      <protection/>
    </xf>
    <xf numFmtId="0" fontId="13" fillId="57" borderId="0" xfId="82" applyFont="1" applyFill="1">
      <alignment/>
      <protection/>
    </xf>
    <xf numFmtId="0" fontId="4" fillId="57" borderId="0" xfId="82" applyFont="1" applyFill="1" applyAlignment="1">
      <alignment horizontal="center"/>
      <protection/>
    </xf>
    <xf numFmtId="0" fontId="41" fillId="57" borderId="0" xfId="83" applyFont="1" applyFill="1" applyAlignment="1" applyProtection="1">
      <alignment horizontal="center"/>
      <protection hidden="1"/>
    </xf>
    <xf numFmtId="0" fontId="41" fillId="57" borderId="0" xfId="82" applyFont="1" applyFill="1" applyAlignment="1">
      <alignment horizontal="center"/>
      <protection/>
    </xf>
    <xf numFmtId="0" fontId="6" fillId="57" borderId="0" xfId="82" applyFill="1" applyAlignment="1">
      <alignment vertical="center"/>
      <protection/>
    </xf>
    <xf numFmtId="3" fontId="10" fillId="56" borderId="35" xfId="82" applyNumberFormat="1" applyFont="1" applyFill="1" applyBorder="1" applyAlignment="1">
      <alignment horizontal="center"/>
      <protection/>
    </xf>
    <xf numFmtId="1" fontId="0" fillId="57" borderId="0" xfId="83" applyNumberFormat="1" applyFont="1" applyFill="1" applyAlignment="1">
      <alignment horizontal="center"/>
      <protection/>
    </xf>
    <xf numFmtId="0" fontId="85" fillId="57" borderId="0" xfId="83" applyFont="1" applyFill="1">
      <alignment/>
      <protection/>
    </xf>
    <xf numFmtId="0" fontId="9" fillId="57" borderId="0" xfId="82" applyFont="1" applyFill="1">
      <alignment/>
      <protection/>
    </xf>
    <xf numFmtId="0" fontId="12" fillId="57" borderId="0" xfId="82" applyFont="1" applyFill="1">
      <alignment/>
      <protection/>
    </xf>
    <xf numFmtId="0" fontId="11" fillId="57" borderId="0" xfId="82" applyFont="1" applyFill="1">
      <alignment/>
      <protection/>
    </xf>
    <xf numFmtId="0" fontId="10" fillId="57" borderId="0" xfId="82" applyFont="1" applyFill="1">
      <alignment/>
      <protection/>
    </xf>
    <xf numFmtId="0" fontId="40" fillId="57" borderId="0" xfId="82" applyFont="1" applyFill="1">
      <alignment/>
      <protection/>
    </xf>
    <xf numFmtId="0" fontId="0" fillId="57" borderId="29" xfId="83" applyFont="1" applyFill="1" applyBorder="1">
      <alignment/>
      <protection/>
    </xf>
    <xf numFmtId="1" fontId="31" fillId="33" borderId="23" xfId="82" applyNumberFormat="1" applyFont="1" applyFill="1" applyBorder="1" applyAlignment="1" applyProtection="1">
      <alignment horizontal="center"/>
      <protection locked="0"/>
    </xf>
    <xf numFmtId="3" fontId="31" fillId="33" borderId="24" xfId="82" applyNumberFormat="1" applyFont="1" applyFill="1" applyBorder="1" applyAlignment="1" applyProtection="1">
      <alignment horizontal="center"/>
      <protection locked="0"/>
    </xf>
    <xf numFmtId="1" fontId="31" fillId="33" borderId="24" xfId="82" applyNumberFormat="1" applyFont="1" applyFill="1" applyBorder="1" applyAlignment="1" applyProtection="1">
      <alignment horizontal="center"/>
      <protection locked="0"/>
    </xf>
    <xf numFmtId="167" fontId="31" fillId="33" borderId="36" xfId="82" applyNumberFormat="1" applyFont="1" applyFill="1" applyBorder="1" applyAlignment="1" applyProtection="1">
      <alignment horizontal="center"/>
      <protection locked="0"/>
    </xf>
    <xf numFmtId="1" fontId="31" fillId="33" borderId="25" xfId="82" applyNumberFormat="1" applyFont="1" applyFill="1" applyBorder="1" applyAlignment="1" applyProtection="1">
      <alignment horizontal="center"/>
      <protection locked="0"/>
    </xf>
    <xf numFmtId="9" fontId="87" fillId="55" borderId="32" xfId="87" applyFont="1" applyFill="1" applyBorder="1" applyAlignment="1" applyProtection="1">
      <alignment horizontal="center"/>
      <protection locked="0"/>
    </xf>
    <xf numFmtId="0" fontId="31" fillId="55" borderId="22" xfId="82" applyFont="1" applyFill="1" applyBorder="1" applyAlignment="1" applyProtection="1">
      <alignment horizontal="center"/>
      <protection locked="0"/>
    </xf>
    <xf numFmtId="0" fontId="31" fillId="55" borderId="24" xfId="82" applyFont="1" applyFill="1" applyBorder="1" applyAlignment="1" applyProtection="1">
      <alignment horizontal="center"/>
      <protection locked="0"/>
    </xf>
    <xf numFmtId="0" fontId="31" fillId="55" borderId="25" xfId="82" applyFont="1" applyFill="1" applyBorder="1" applyAlignment="1" applyProtection="1">
      <alignment horizontal="center"/>
      <protection locked="0"/>
    </xf>
    <xf numFmtId="9" fontId="31" fillId="55" borderId="24" xfId="87" applyFont="1" applyFill="1" applyBorder="1" applyAlignment="1" applyProtection="1">
      <alignment horizontal="center"/>
      <protection locked="0"/>
    </xf>
    <xf numFmtId="9" fontId="31" fillId="55" borderId="25" xfId="87" applyFont="1" applyFill="1" applyBorder="1" applyAlignment="1" applyProtection="1">
      <alignment horizontal="center"/>
      <protection locked="0"/>
    </xf>
    <xf numFmtId="167" fontId="31" fillId="58" borderId="37" xfId="84" applyNumberFormat="1" applyFont="1" applyFill="1" applyBorder="1" applyAlignment="1" applyProtection="1">
      <alignment horizontal="center"/>
      <protection locked="0"/>
    </xf>
    <xf numFmtId="9" fontId="31" fillId="58" borderId="37" xfId="84" applyFont="1" applyFill="1" applyBorder="1" applyAlignment="1" applyProtection="1">
      <alignment horizontal="center"/>
      <protection locked="0"/>
    </xf>
    <xf numFmtId="1" fontId="10" fillId="57" borderId="37" xfId="82" applyNumberFormat="1" applyFont="1" applyFill="1" applyBorder="1" applyAlignment="1">
      <alignment horizontal="center"/>
      <protection/>
    </xf>
    <xf numFmtId="1" fontId="10" fillId="57" borderId="20" xfId="82" applyNumberFormat="1" applyFont="1" applyFill="1" applyBorder="1" applyAlignment="1">
      <alignment horizontal="center"/>
      <protection/>
    </xf>
    <xf numFmtId="1" fontId="10" fillId="57" borderId="21" xfId="82" applyNumberFormat="1" applyFont="1" applyFill="1" applyBorder="1" applyAlignment="1">
      <alignment horizontal="center"/>
      <protection/>
    </xf>
    <xf numFmtId="1" fontId="10" fillId="57" borderId="38" xfId="82" applyNumberFormat="1" applyFont="1" applyFill="1" applyBorder="1" applyAlignment="1">
      <alignment horizontal="center" vertical="center"/>
      <protection/>
    </xf>
    <xf numFmtId="1" fontId="9" fillId="57" borderId="39" xfId="0" applyNumberFormat="1" applyFont="1" applyFill="1" applyBorder="1" applyAlignment="1">
      <alignment horizontal="center" vertical="center"/>
    </xf>
    <xf numFmtId="167" fontId="9" fillId="56" borderId="27" xfId="82" applyNumberFormat="1" applyFont="1" applyFill="1" applyBorder="1" applyAlignment="1">
      <alignment horizontal="center"/>
      <protection/>
    </xf>
    <xf numFmtId="9" fontId="9" fillId="56" borderId="34" xfId="82" applyNumberFormat="1" applyFont="1" applyFill="1" applyBorder="1" applyAlignment="1">
      <alignment horizontal="center"/>
      <protection/>
    </xf>
    <xf numFmtId="9" fontId="9" fillId="56" borderId="40" xfId="82" applyNumberFormat="1" applyFont="1" applyFill="1" applyBorder="1" applyAlignment="1">
      <alignment horizontal="center"/>
      <protection/>
    </xf>
    <xf numFmtId="3" fontId="10" fillId="56" borderId="27" xfId="82" applyNumberFormat="1" applyFont="1" applyFill="1" applyBorder="1" applyAlignment="1">
      <alignment horizontal="center" vertical="center"/>
      <protection/>
    </xf>
    <xf numFmtId="3" fontId="10" fillId="56" borderId="34" xfId="82" applyNumberFormat="1" applyFont="1" applyFill="1" applyBorder="1" applyAlignment="1">
      <alignment horizontal="center" vertical="center"/>
      <protection/>
    </xf>
    <xf numFmtId="3" fontId="10" fillId="56" borderId="40" xfId="82" applyNumberFormat="1" applyFont="1" applyFill="1" applyBorder="1" applyAlignment="1">
      <alignment horizontal="center" vertical="center"/>
      <protection/>
    </xf>
    <xf numFmtId="1" fontId="10" fillId="56" borderId="41" xfId="82" applyNumberFormat="1" applyFont="1" applyFill="1" applyBorder="1" applyAlignment="1">
      <alignment horizontal="center" vertical="center"/>
      <protection/>
    </xf>
    <xf numFmtId="165" fontId="9" fillId="56" borderId="27" xfId="82" applyNumberFormat="1" applyFont="1" applyFill="1" applyBorder="1" applyAlignment="1">
      <alignment horizontal="center" vertical="center"/>
      <protection/>
    </xf>
    <xf numFmtId="9" fontId="9" fillId="56" borderId="40" xfId="87" applyFont="1" applyFill="1" applyBorder="1" applyAlignment="1" applyProtection="1">
      <alignment horizontal="center" vertical="center"/>
      <protection/>
    </xf>
    <xf numFmtId="3" fontId="10" fillId="56" borderId="41" xfId="82" applyNumberFormat="1" applyFont="1" applyFill="1" applyBorder="1" applyAlignment="1">
      <alignment horizontal="center" vertical="center"/>
      <protection/>
    </xf>
    <xf numFmtId="1" fontId="9" fillId="56" borderId="42" xfId="0" applyNumberFormat="1" applyFont="1" applyFill="1" applyBorder="1" applyAlignment="1">
      <alignment horizontal="center" vertical="center"/>
    </xf>
    <xf numFmtId="9" fontId="31" fillId="55" borderId="36" xfId="87" applyFont="1" applyFill="1" applyBorder="1" applyAlignment="1" applyProtection="1">
      <alignment horizontal="center"/>
      <protection locked="0"/>
    </xf>
    <xf numFmtId="0" fontId="0" fillId="57" borderId="43" xfId="83" applyFont="1" applyFill="1" applyBorder="1">
      <alignment/>
      <protection/>
    </xf>
    <xf numFmtId="0" fontId="10" fillId="57" borderId="36" xfId="82" applyFont="1" applyFill="1" applyBorder="1" applyAlignment="1">
      <alignment vertical="center"/>
      <protection/>
    </xf>
    <xf numFmtId="0" fontId="10" fillId="57" borderId="24" xfId="82" applyFont="1" applyFill="1" applyBorder="1" applyAlignment="1">
      <alignment vertical="center"/>
      <protection/>
    </xf>
    <xf numFmtId="0" fontId="88" fillId="57" borderId="28" xfId="83" applyFont="1" applyFill="1" applyBorder="1" applyAlignment="1">
      <alignment horizontal="left"/>
      <protection/>
    </xf>
    <xf numFmtId="0" fontId="10" fillId="57" borderId="22" xfId="82" applyFont="1" applyFill="1" applyBorder="1" applyAlignment="1">
      <alignment vertical="center"/>
      <protection/>
    </xf>
    <xf numFmtId="0" fontId="10" fillId="57" borderId="29" xfId="82" applyFont="1" applyFill="1" applyBorder="1" applyAlignment="1">
      <alignment vertical="center"/>
      <protection/>
    </xf>
    <xf numFmtId="0" fontId="10" fillId="57" borderId="25" xfId="82" applyFont="1" applyFill="1" applyBorder="1" applyAlignment="1">
      <alignment vertical="center"/>
      <protection/>
    </xf>
    <xf numFmtId="0" fontId="10" fillId="57" borderId="32" xfId="82" applyFont="1" applyFill="1" applyBorder="1" applyAlignment="1">
      <alignment vertical="center"/>
      <protection/>
    </xf>
    <xf numFmtId="9" fontId="10" fillId="0" borderId="28" xfId="85" applyFont="1" applyFill="1" applyBorder="1" applyAlignment="1" applyProtection="1">
      <alignment horizontal="center"/>
      <protection/>
    </xf>
    <xf numFmtId="2" fontId="10" fillId="0" borderId="28" xfId="0" applyNumberFormat="1" applyFont="1" applyBorder="1" applyAlignment="1">
      <alignment horizontal="center"/>
    </xf>
    <xf numFmtId="166" fontId="10" fillId="0" borderId="28" xfId="85" applyNumberFormat="1" applyFont="1" applyFill="1" applyBorder="1" applyAlignment="1" applyProtection="1">
      <alignment horizontal="center"/>
      <protection/>
    </xf>
    <xf numFmtId="9" fontId="10" fillId="0" borderId="28" xfId="87" applyFont="1" applyFill="1" applyBorder="1" applyAlignment="1" applyProtection="1">
      <alignment horizontal="center"/>
      <protection/>
    </xf>
    <xf numFmtId="0" fontId="10" fillId="0" borderId="28" xfId="82" applyFont="1" applyBorder="1" applyAlignment="1">
      <alignment horizontal="center"/>
      <protection/>
    </xf>
    <xf numFmtId="0" fontId="6" fillId="57" borderId="29" xfId="82" applyFill="1" applyBorder="1">
      <alignment/>
      <protection/>
    </xf>
    <xf numFmtId="0" fontId="12" fillId="57" borderId="32" xfId="82" applyFont="1" applyFill="1" applyBorder="1" applyAlignment="1">
      <alignment vertical="center" wrapText="1"/>
      <protection/>
    </xf>
    <xf numFmtId="14" fontId="89" fillId="0" borderId="0" xfId="81" applyNumberFormat="1" applyFont="1">
      <alignment/>
      <protection/>
    </xf>
    <xf numFmtId="0" fontId="0" fillId="57" borderId="0" xfId="0" applyFill="1" applyAlignment="1">
      <alignment wrapText="1" readingOrder="1"/>
    </xf>
    <xf numFmtId="165" fontId="9" fillId="57" borderId="37" xfId="82" applyNumberFormat="1" applyFont="1" applyFill="1" applyBorder="1" applyAlignment="1">
      <alignment horizontal="center" vertical="center"/>
      <protection/>
    </xf>
    <xf numFmtId="9" fontId="9" fillId="57" borderId="21" xfId="87" applyFont="1" applyFill="1" applyBorder="1" applyAlignment="1" applyProtection="1">
      <alignment horizontal="center"/>
      <protection/>
    </xf>
    <xf numFmtId="3" fontId="10" fillId="57" borderId="37" xfId="82" applyNumberFormat="1" applyFont="1" applyFill="1" applyBorder="1" applyAlignment="1">
      <alignment horizontal="center" vertical="center"/>
      <protection/>
    </xf>
    <xf numFmtId="3" fontId="10" fillId="57" borderId="20" xfId="82" applyNumberFormat="1" applyFont="1" applyFill="1" applyBorder="1" applyAlignment="1">
      <alignment horizontal="center" vertical="center"/>
      <protection/>
    </xf>
    <xf numFmtId="3" fontId="10" fillId="57" borderId="21" xfId="82" applyNumberFormat="1" applyFont="1" applyFill="1" applyBorder="1" applyAlignment="1">
      <alignment horizontal="center" vertical="center"/>
      <protection/>
    </xf>
    <xf numFmtId="3" fontId="10" fillId="57" borderId="38" xfId="82" applyNumberFormat="1" applyFont="1" applyFill="1" applyBorder="1" applyAlignment="1">
      <alignment horizontal="center" vertical="center"/>
      <protection/>
    </xf>
    <xf numFmtId="3" fontId="6" fillId="57" borderId="0" xfId="82" applyNumberFormat="1" applyFill="1">
      <alignment/>
      <protection/>
    </xf>
    <xf numFmtId="0" fontId="85" fillId="0" borderId="25" xfId="83" applyFont="1" applyBorder="1" applyProtection="1">
      <alignment/>
      <protection locked="0"/>
    </xf>
    <xf numFmtId="0" fontId="85" fillId="0" borderId="22" xfId="83" applyFont="1" applyBorder="1" applyProtection="1">
      <alignment/>
      <protection locked="0"/>
    </xf>
    <xf numFmtId="0" fontId="85" fillId="0" borderId="24" xfId="83" applyFont="1" applyBorder="1" applyProtection="1">
      <alignment/>
      <protection locked="0"/>
    </xf>
    <xf numFmtId="0" fontId="0" fillId="0" borderId="24" xfId="0" applyBorder="1" applyAlignment="1">
      <alignment/>
    </xf>
    <xf numFmtId="0" fontId="0" fillId="0" borderId="34" xfId="0" applyBorder="1" applyAlignment="1">
      <alignment/>
    </xf>
    <xf numFmtId="0" fontId="0" fillId="0" borderId="44" xfId="0" applyBorder="1" applyAlignment="1">
      <alignment/>
    </xf>
    <xf numFmtId="0" fontId="0" fillId="0" borderId="27" xfId="0" applyBorder="1" applyAlignment="1">
      <alignment/>
    </xf>
    <xf numFmtId="0" fontId="0" fillId="0" borderId="0" xfId="0" applyAlignment="1">
      <alignment horizontal="left"/>
    </xf>
    <xf numFmtId="0" fontId="88" fillId="0" borderId="0" xfId="0" applyFont="1" applyAlignment="1">
      <alignment horizontal="left"/>
    </xf>
    <xf numFmtId="0" fontId="88" fillId="0" borderId="28" xfId="73" applyFont="1" applyFill="1" applyBorder="1" applyAlignment="1" applyProtection="1">
      <alignment horizontal="center"/>
      <protection/>
    </xf>
    <xf numFmtId="167" fontId="4" fillId="59" borderId="28" xfId="73" applyNumberFormat="1" applyFont="1" applyFill="1" applyBorder="1" applyAlignment="1" applyProtection="1">
      <alignment horizontal="center"/>
      <protection/>
    </xf>
    <xf numFmtId="0" fontId="90" fillId="0" borderId="0" xfId="0" applyFont="1" applyAlignment="1" applyProtection="1">
      <alignment/>
      <protection hidden="1"/>
    </xf>
    <xf numFmtId="0" fontId="0" fillId="0" borderId="0" xfId="0" applyAlignment="1" applyProtection="1">
      <alignment horizontal="left"/>
      <protection hidden="1"/>
    </xf>
    <xf numFmtId="3" fontId="0" fillId="0" borderId="0" xfId="0" applyNumberFormat="1" applyAlignment="1" applyProtection="1">
      <alignment/>
      <protection hidden="1"/>
    </xf>
    <xf numFmtId="0" fontId="91" fillId="0" borderId="0" xfId="0" applyFont="1" applyAlignment="1" applyProtection="1">
      <alignment horizontal="left"/>
      <protection hidden="1"/>
    </xf>
    <xf numFmtId="0" fontId="88" fillId="0" borderId="36" xfId="0" applyFont="1" applyBorder="1" applyAlignment="1" applyProtection="1">
      <alignment horizontal="left"/>
      <protection hidden="1"/>
    </xf>
    <xf numFmtId="1" fontId="88" fillId="0" borderId="36" xfId="0" applyNumberFormat="1" applyFont="1" applyBorder="1" applyAlignment="1" applyProtection="1">
      <alignment horizontal="center"/>
      <protection hidden="1"/>
    </xf>
    <xf numFmtId="0" fontId="88" fillId="0" borderId="0" xfId="0" applyFont="1" applyAlignment="1" applyProtection="1">
      <alignment horizontal="left"/>
      <protection hidden="1"/>
    </xf>
    <xf numFmtId="0" fontId="88" fillId="0" borderId="0" xfId="0" applyFont="1" applyAlignment="1" applyProtection="1">
      <alignment horizontal="center"/>
      <protection hidden="1"/>
    </xf>
    <xf numFmtId="0" fontId="88" fillId="0" borderId="36" xfId="0" applyFont="1" applyBorder="1" applyAlignment="1" applyProtection="1">
      <alignment horizontal="center"/>
      <protection hidden="1"/>
    </xf>
    <xf numFmtId="9" fontId="0" fillId="0" borderId="0" xfId="0" applyNumberFormat="1" applyAlignment="1" applyProtection="1">
      <alignment/>
      <protection hidden="1"/>
    </xf>
    <xf numFmtId="9" fontId="0" fillId="0" borderId="0" xfId="84" applyFont="1" applyFill="1" applyBorder="1" applyAlignment="1" applyProtection="1">
      <alignment horizontal="center"/>
      <protection hidden="1"/>
    </xf>
    <xf numFmtId="0" fontId="88" fillId="57" borderId="0" xfId="0" applyFont="1" applyFill="1" applyAlignment="1" applyProtection="1">
      <alignment horizontal="left"/>
      <protection hidden="1"/>
    </xf>
    <xf numFmtId="0" fontId="0" fillId="0" borderId="0" xfId="0" applyAlignment="1">
      <alignment vertical="center"/>
    </xf>
    <xf numFmtId="0" fontId="12" fillId="57" borderId="29" xfId="82" applyFont="1" applyFill="1" applyBorder="1">
      <alignment/>
      <protection/>
    </xf>
    <xf numFmtId="0" fontId="85" fillId="0" borderId="28" xfId="0" applyFont="1" applyBorder="1" applyAlignment="1">
      <alignment/>
    </xf>
    <xf numFmtId="0" fontId="10" fillId="0" borderId="28" xfId="81" applyBorder="1">
      <alignment/>
      <protection/>
    </xf>
    <xf numFmtId="1" fontId="85" fillId="0" borderId="28" xfId="83" applyNumberFormat="1" applyFont="1" applyBorder="1" applyAlignment="1" applyProtection="1">
      <alignment horizontal="center"/>
      <protection hidden="1"/>
    </xf>
    <xf numFmtId="0" fontId="9" fillId="57" borderId="29" xfId="82" applyFont="1" applyFill="1" applyBorder="1">
      <alignment/>
      <protection/>
    </xf>
    <xf numFmtId="0" fontId="0" fillId="57" borderId="0" xfId="0" applyFill="1" applyAlignment="1">
      <alignment vertical="center"/>
    </xf>
    <xf numFmtId="3" fontId="10" fillId="56" borderId="25" xfId="82" applyNumberFormat="1" applyFont="1" applyFill="1" applyBorder="1" applyAlignment="1">
      <alignment horizontal="center"/>
      <protection/>
    </xf>
    <xf numFmtId="3" fontId="10" fillId="57" borderId="0" xfId="82" applyNumberFormat="1" applyFont="1" applyFill="1" applyAlignment="1">
      <alignment horizontal="center"/>
      <protection/>
    </xf>
    <xf numFmtId="0" fontId="0" fillId="0" borderId="0" xfId="83" applyFont="1" quotePrefix="1">
      <alignment/>
      <protection/>
    </xf>
    <xf numFmtId="0" fontId="85" fillId="57" borderId="28" xfId="83" applyFont="1" applyFill="1" applyBorder="1" applyProtection="1">
      <alignment/>
      <protection hidden="1"/>
    </xf>
    <xf numFmtId="167" fontId="31" fillId="33" borderId="22" xfId="82" applyNumberFormat="1" applyFont="1" applyFill="1" applyBorder="1" applyAlignment="1" applyProtection="1">
      <alignment horizontal="center"/>
      <protection locked="0"/>
    </xf>
    <xf numFmtId="165" fontId="10" fillId="56" borderId="22" xfId="82" applyNumberFormat="1" applyFont="1" applyFill="1" applyBorder="1" applyAlignment="1">
      <alignment horizontal="center"/>
      <protection/>
    </xf>
    <xf numFmtId="0" fontId="10" fillId="0" borderId="28" xfId="81" applyBorder="1" applyAlignment="1">
      <alignment horizontal="center"/>
      <protection/>
    </xf>
    <xf numFmtId="9" fontId="10" fillId="0" borderId="28" xfId="84" applyFont="1" applyFill="1" applyBorder="1" applyAlignment="1">
      <alignment horizontal="center"/>
    </xf>
    <xf numFmtId="0" fontId="92" fillId="0" borderId="0" xfId="0" applyFont="1" applyAlignment="1">
      <alignment/>
    </xf>
    <xf numFmtId="2" fontId="10" fillId="0" borderId="37" xfId="86" applyNumberFormat="1" applyFont="1" applyFill="1" applyBorder="1" applyAlignment="1" applyProtection="1">
      <alignment horizontal="center"/>
      <protection locked="0"/>
    </xf>
    <xf numFmtId="2" fontId="10" fillId="0" borderId="21" xfId="86" applyNumberFormat="1" applyFont="1" applyFill="1" applyBorder="1" applyAlignment="1" applyProtection="1">
      <alignment horizontal="center"/>
      <protection locked="0"/>
    </xf>
    <xf numFmtId="9" fontId="85" fillId="0" borderId="28" xfId="0" applyNumberFormat="1" applyFont="1" applyBorder="1" applyAlignment="1">
      <alignment horizontal="center"/>
    </xf>
    <xf numFmtId="167" fontId="10" fillId="56" borderId="29" xfId="84" applyNumberFormat="1" applyFont="1" applyFill="1" applyBorder="1" applyAlignment="1" applyProtection="1">
      <alignment horizontal="center"/>
      <protection/>
    </xf>
    <xf numFmtId="1" fontId="9" fillId="0" borderId="23" xfId="87" applyNumberFormat="1" applyFont="1" applyFill="1" applyBorder="1" applyAlignment="1" applyProtection="1">
      <alignment horizontal="center"/>
      <protection locked="0"/>
    </xf>
    <xf numFmtId="1" fontId="9" fillId="0" borderId="24" xfId="87" applyNumberFormat="1" applyFont="1" applyFill="1" applyBorder="1" applyAlignment="1" applyProtection="1">
      <alignment horizontal="center"/>
      <protection locked="0"/>
    </xf>
    <xf numFmtId="1" fontId="9" fillId="0" borderId="36" xfId="87" applyNumberFormat="1" applyFont="1" applyFill="1" applyBorder="1" applyAlignment="1" applyProtection="1">
      <alignment horizontal="center"/>
      <protection locked="0"/>
    </xf>
    <xf numFmtId="14" fontId="89" fillId="0" borderId="0" xfId="81" applyNumberFormat="1" applyFont="1" applyProtection="1">
      <alignment/>
      <protection hidden="1"/>
    </xf>
    <xf numFmtId="0" fontId="0" fillId="0" borderId="0" xfId="83" applyFont="1" applyProtection="1">
      <alignment/>
      <protection hidden="1"/>
    </xf>
    <xf numFmtId="9" fontId="10" fillId="0" borderId="28" xfId="84" applyFont="1" applyFill="1" applyBorder="1" applyAlignment="1" applyProtection="1">
      <alignment horizontal="center"/>
      <protection/>
    </xf>
    <xf numFmtId="1" fontId="66" fillId="57" borderId="32" xfId="83" applyNumberFormat="1" applyFill="1" applyBorder="1">
      <alignment/>
      <protection/>
    </xf>
    <xf numFmtId="1" fontId="31" fillId="33" borderId="29" xfId="82" applyNumberFormat="1" applyFont="1" applyFill="1" applyBorder="1" applyAlignment="1" applyProtection="1">
      <alignment horizontal="center"/>
      <protection locked="0"/>
    </xf>
    <xf numFmtId="3" fontId="10" fillId="56" borderId="29" xfId="82" applyNumberFormat="1" applyFont="1" applyFill="1" applyBorder="1" applyAlignment="1">
      <alignment horizontal="center"/>
      <protection/>
    </xf>
    <xf numFmtId="9" fontId="10" fillId="56" borderId="22" xfId="86" applyFont="1" applyFill="1" applyBorder="1" applyAlignment="1" applyProtection="1">
      <alignment horizontal="center"/>
      <protection/>
    </xf>
    <xf numFmtId="0" fontId="0" fillId="57" borderId="0" xfId="83" applyFont="1" applyFill="1" quotePrefix="1">
      <alignment/>
      <protection/>
    </xf>
    <xf numFmtId="0" fontId="0" fillId="0" borderId="32" xfId="0" applyBorder="1" applyAlignment="1">
      <alignment vertical="center"/>
    </xf>
    <xf numFmtId="0" fontId="0" fillId="0" borderId="0" xfId="0" applyAlignment="1">
      <alignment horizontal="center" vertical="top"/>
    </xf>
    <xf numFmtId="0" fontId="14" fillId="57" borderId="0" xfId="82" applyFont="1" applyFill="1" applyAlignment="1">
      <alignment horizontal="center" vertical="top"/>
      <protection/>
    </xf>
    <xf numFmtId="1" fontId="87" fillId="55" borderId="29" xfId="82" applyNumberFormat="1" applyFont="1" applyFill="1" applyBorder="1" applyAlignment="1" applyProtection="1">
      <alignment horizontal="center"/>
      <protection locked="0"/>
    </xf>
    <xf numFmtId="0" fontId="10" fillId="57" borderId="23" xfId="82" applyFont="1" applyFill="1" applyBorder="1" applyAlignment="1">
      <alignment vertical="center"/>
      <protection/>
    </xf>
    <xf numFmtId="0" fontId="0" fillId="57" borderId="23" xfId="0" applyFill="1" applyBorder="1" applyAlignment="1">
      <alignment vertical="center"/>
    </xf>
    <xf numFmtId="2" fontId="10" fillId="57" borderId="0" xfId="82" applyNumberFormat="1" applyFont="1" applyFill="1" applyAlignment="1">
      <alignment horizontal="center"/>
      <protection/>
    </xf>
    <xf numFmtId="0" fontId="4" fillId="57" borderId="0" xfId="0" applyFont="1" applyFill="1" applyAlignment="1">
      <alignment vertical="center"/>
    </xf>
    <xf numFmtId="0" fontId="0" fillId="57" borderId="0" xfId="0" applyFill="1" applyAlignment="1">
      <alignment horizontal="center" vertical="top" wrapText="1"/>
    </xf>
    <xf numFmtId="0" fontId="0" fillId="57" borderId="0" xfId="0" applyFill="1" applyAlignment="1">
      <alignment vertical="top" wrapText="1"/>
    </xf>
    <xf numFmtId="9" fontId="31" fillId="33" borderId="25" xfId="84" applyFont="1" applyFill="1" applyBorder="1" applyAlignment="1" applyProtection="1">
      <alignment horizontal="center"/>
      <protection locked="0"/>
    </xf>
    <xf numFmtId="9" fontId="10" fillId="56" borderId="25" xfId="86" applyFont="1" applyFill="1" applyBorder="1" applyAlignment="1" applyProtection="1">
      <alignment horizontal="center"/>
      <protection/>
    </xf>
    <xf numFmtId="1" fontId="92" fillId="60" borderId="22" xfId="83" applyNumberFormat="1" applyFont="1" applyFill="1" applyBorder="1" applyAlignment="1" applyProtection="1">
      <alignment horizontal="center"/>
      <protection hidden="1"/>
    </xf>
    <xf numFmtId="1" fontId="92" fillId="60" borderId="24" xfId="83" applyNumberFormat="1" applyFont="1" applyFill="1" applyBorder="1" applyAlignment="1" applyProtection="1">
      <alignment horizontal="center"/>
      <protection hidden="1"/>
    </xf>
    <xf numFmtId="1" fontId="92" fillId="60" borderId="29" xfId="83" applyNumberFormat="1" applyFont="1" applyFill="1" applyBorder="1" applyAlignment="1" applyProtection="1">
      <alignment horizontal="center"/>
      <protection hidden="1"/>
    </xf>
    <xf numFmtId="0" fontId="0" fillId="57" borderId="0" xfId="0" applyFill="1" applyAlignment="1">
      <alignment wrapText="1"/>
    </xf>
    <xf numFmtId="0" fontId="0" fillId="0" borderId="35" xfId="0" applyBorder="1" applyAlignment="1">
      <alignment vertical="center"/>
    </xf>
    <xf numFmtId="1" fontId="10" fillId="57" borderId="29" xfId="82" applyNumberFormat="1" applyFont="1" applyFill="1" applyBorder="1" applyAlignment="1">
      <alignment horizontal="center"/>
      <protection/>
    </xf>
    <xf numFmtId="2" fontId="87" fillId="57" borderId="0" xfId="82" applyNumberFormat="1" applyFont="1" applyFill="1" applyAlignment="1">
      <alignment horizontal="center"/>
      <protection/>
    </xf>
    <xf numFmtId="1" fontId="87" fillId="57" borderId="0" xfId="82" applyNumberFormat="1" applyFont="1" applyFill="1" applyAlignment="1">
      <alignment horizontal="center"/>
      <protection/>
    </xf>
    <xf numFmtId="2" fontId="87" fillId="0" borderId="0" xfId="82" applyNumberFormat="1" applyFont="1" applyAlignment="1">
      <alignment horizontal="center"/>
      <protection/>
    </xf>
    <xf numFmtId="3" fontId="10" fillId="56" borderId="36" xfId="82" applyNumberFormat="1" applyFont="1" applyFill="1" applyBorder="1" applyAlignment="1">
      <alignment horizontal="center"/>
      <protection/>
    </xf>
    <xf numFmtId="0" fontId="93" fillId="57" borderId="0" xfId="83" applyFont="1" applyFill="1">
      <alignment/>
      <protection/>
    </xf>
    <xf numFmtId="0" fontId="94" fillId="57" borderId="0" xfId="83" applyFont="1" applyFill="1">
      <alignment/>
      <protection/>
    </xf>
    <xf numFmtId="0" fontId="92" fillId="57" borderId="29" xfId="83" applyFont="1" applyFill="1" applyBorder="1">
      <alignment/>
      <protection/>
    </xf>
    <xf numFmtId="0" fontId="0" fillId="0" borderId="23" xfId="0" applyBorder="1" applyAlignment="1">
      <alignment/>
    </xf>
    <xf numFmtId="0" fontId="0" fillId="57" borderId="32" xfId="83" applyFont="1" applyFill="1" applyBorder="1">
      <alignment/>
      <protection/>
    </xf>
    <xf numFmtId="0" fontId="0" fillId="0" borderId="36" xfId="0" applyBorder="1" applyAlignment="1">
      <alignment/>
    </xf>
    <xf numFmtId="9" fontId="85" fillId="56" borderId="22" xfId="84" applyFont="1" applyFill="1" applyBorder="1" applyAlignment="1" applyProtection="1">
      <alignment horizontal="center"/>
      <protection/>
    </xf>
    <xf numFmtId="0" fontId="85" fillId="57" borderId="24" xfId="83" applyFont="1" applyFill="1" applyBorder="1">
      <alignment/>
      <protection/>
    </xf>
    <xf numFmtId="0" fontId="85" fillId="56" borderId="24" xfId="83" applyFont="1" applyFill="1" applyBorder="1" applyAlignment="1">
      <alignment horizontal="center"/>
      <protection/>
    </xf>
    <xf numFmtId="9" fontId="85" fillId="56" borderId="24" xfId="84" applyFont="1" applyFill="1" applyBorder="1" applyAlignment="1" applyProtection="1">
      <alignment horizontal="center"/>
      <protection/>
    </xf>
    <xf numFmtId="0" fontId="0" fillId="58" borderId="0" xfId="0" applyFill="1" applyAlignment="1">
      <alignment/>
    </xf>
    <xf numFmtId="0" fontId="0" fillId="0" borderId="25" xfId="0" applyBorder="1" applyAlignment="1">
      <alignment/>
    </xf>
    <xf numFmtId="9" fontId="85" fillId="56" borderId="29" xfId="84" applyFont="1" applyFill="1" applyBorder="1" applyAlignment="1" applyProtection="1">
      <alignment horizontal="center"/>
      <protection/>
    </xf>
    <xf numFmtId="9" fontId="31" fillId="57" borderId="0" xfId="87" applyFont="1" applyFill="1" applyBorder="1" applyAlignment="1" applyProtection="1">
      <alignment horizontal="center"/>
      <protection/>
    </xf>
    <xf numFmtId="1" fontId="85" fillId="56" borderId="36" xfId="83" applyNumberFormat="1" applyFont="1" applyFill="1" applyBorder="1" applyAlignment="1">
      <alignment horizontal="center"/>
      <protection/>
    </xf>
    <xf numFmtId="1" fontId="85" fillId="56" borderId="24" xfId="83" applyNumberFormat="1" applyFont="1" applyFill="1" applyBorder="1" applyAlignment="1">
      <alignment horizontal="center"/>
      <protection/>
    </xf>
    <xf numFmtId="1" fontId="85" fillId="56" borderId="29" xfId="83" applyNumberFormat="1" applyFont="1" applyFill="1" applyBorder="1" applyAlignment="1">
      <alignment horizontal="center"/>
      <protection/>
    </xf>
    <xf numFmtId="0" fontId="92" fillId="57" borderId="0" xfId="83" applyFont="1" applyFill="1">
      <alignment/>
      <protection/>
    </xf>
    <xf numFmtId="0" fontId="85" fillId="57" borderId="0" xfId="83" applyFont="1" applyFill="1" applyAlignment="1">
      <alignment horizontal="center"/>
      <protection/>
    </xf>
    <xf numFmtId="0" fontId="95" fillId="57" borderId="29" xfId="83" applyFont="1" applyFill="1" applyBorder="1">
      <alignment/>
      <protection/>
    </xf>
    <xf numFmtId="0" fontId="95" fillId="57" borderId="29" xfId="83" applyFont="1" applyFill="1" applyBorder="1" applyAlignment="1">
      <alignment horizontal="center" wrapText="1"/>
      <protection/>
    </xf>
    <xf numFmtId="0" fontId="41" fillId="57" borderId="0" xfId="83" applyFont="1" applyFill="1">
      <alignment/>
      <protection/>
    </xf>
    <xf numFmtId="0" fontId="85" fillId="0" borderId="36" xfId="83" applyFont="1" applyBorder="1">
      <alignment/>
      <protection/>
    </xf>
    <xf numFmtId="2" fontId="85" fillId="56" borderId="36" xfId="84" applyNumberFormat="1" applyFont="1" applyFill="1" applyBorder="1" applyAlignment="1" applyProtection="1">
      <alignment horizontal="center"/>
      <protection/>
    </xf>
    <xf numFmtId="1" fontId="85" fillId="56" borderId="36" xfId="84" applyNumberFormat="1" applyFont="1" applyFill="1" applyBorder="1" applyAlignment="1" applyProtection="1">
      <alignment horizontal="center"/>
      <protection/>
    </xf>
    <xf numFmtId="0" fontId="85" fillId="0" borderId="25" xfId="83" applyFont="1" applyBorder="1">
      <alignment/>
      <protection/>
    </xf>
    <xf numFmtId="0" fontId="85" fillId="57" borderId="29" xfId="83" applyFont="1" applyFill="1" applyBorder="1">
      <alignment/>
      <protection/>
    </xf>
    <xf numFmtId="2" fontId="9" fillId="57" borderId="38" xfId="86" applyNumberFormat="1" applyFont="1" applyFill="1" applyBorder="1" applyAlignment="1" applyProtection="1">
      <alignment horizontal="center"/>
      <protection/>
    </xf>
    <xf numFmtId="1" fontId="9" fillId="57" borderId="29" xfId="86" applyNumberFormat="1" applyFont="1" applyFill="1" applyBorder="1" applyAlignment="1" applyProtection="1">
      <alignment horizontal="center"/>
      <protection/>
    </xf>
    <xf numFmtId="2" fontId="85" fillId="56" borderId="32" xfId="84" applyNumberFormat="1" applyFont="1" applyFill="1" applyBorder="1" applyAlignment="1" applyProtection="1">
      <alignment horizontal="center"/>
      <protection/>
    </xf>
    <xf numFmtId="1" fontId="85" fillId="56" borderId="32" xfId="83" applyNumberFormat="1" applyFont="1" applyFill="1" applyBorder="1" applyAlignment="1">
      <alignment horizontal="center"/>
      <protection/>
    </xf>
    <xf numFmtId="0" fontId="93" fillId="57" borderId="32" xfId="83" applyFont="1" applyFill="1" applyBorder="1">
      <alignment/>
      <protection/>
    </xf>
    <xf numFmtId="0" fontId="93" fillId="57" borderId="29" xfId="83" applyFont="1" applyFill="1" applyBorder="1">
      <alignment/>
      <protection/>
    </xf>
    <xf numFmtId="9" fontId="85" fillId="56" borderId="36" xfId="84" applyFont="1" applyFill="1" applyBorder="1" applyAlignment="1" applyProtection="1">
      <alignment horizontal="center"/>
      <protection/>
    </xf>
    <xf numFmtId="0" fontId="85" fillId="56" borderId="29" xfId="83" applyFont="1" applyFill="1" applyBorder="1" applyAlignment="1">
      <alignment horizontal="center"/>
      <protection/>
    </xf>
    <xf numFmtId="0" fontId="85" fillId="0" borderId="0" xfId="83" applyFont="1" applyAlignment="1">
      <alignment horizontal="center"/>
      <protection/>
    </xf>
    <xf numFmtId="0" fontId="88" fillId="57" borderId="29" xfId="83" applyFont="1" applyFill="1" applyBorder="1">
      <alignment/>
      <protection/>
    </xf>
    <xf numFmtId="1" fontId="10" fillId="56" borderId="0" xfId="83" applyNumberFormat="1" applyFont="1" applyFill="1" applyAlignment="1">
      <alignment horizontal="center"/>
      <protection/>
    </xf>
    <xf numFmtId="1" fontId="10" fillId="56" borderId="35" xfId="83" applyNumberFormat="1" applyFont="1" applyFill="1" applyBorder="1" applyAlignment="1">
      <alignment horizontal="center"/>
      <protection/>
    </xf>
    <xf numFmtId="1" fontId="0" fillId="57" borderId="0" xfId="83" applyNumberFormat="1" applyFont="1" applyFill="1">
      <alignment/>
      <protection/>
    </xf>
    <xf numFmtId="0" fontId="0" fillId="0" borderId="29" xfId="0" applyBorder="1" applyAlignment="1">
      <alignment/>
    </xf>
    <xf numFmtId="1" fontId="10" fillId="56" borderId="25" xfId="83" applyNumberFormat="1" applyFont="1" applyFill="1" applyBorder="1" applyAlignment="1">
      <alignment horizontal="center"/>
      <protection/>
    </xf>
    <xf numFmtId="0" fontId="0" fillId="57" borderId="43" xfId="0" applyFill="1" applyBorder="1" applyAlignment="1">
      <alignment/>
    </xf>
    <xf numFmtId="1" fontId="10" fillId="56" borderId="29" xfId="82" applyNumberFormat="1" applyFont="1" applyFill="1" applyBorder="1" applyAlignment="1">
      <alignment horizontal="center"/>
      <protection/>
    </xf>
    <xf numFmtId="167" fontId="31" fillId="33" borderId="23" xfId="82" applyNumberFormat="1" applyFont="1" applyFill="1" applyBorder="1" applyAlignment="1" applyProtection="1">
      <alignment horizontal="center"/>
      <protection locked="0"/>
    </xf>
    <xf numFmtId="167" fontId="10" fillId="56" borderId="32" xfId="82" applyNumberFormat="1" applyFont="1" applyFill="1" applyBorder="1" applyAlignment="1">
      <alignment horizontal="center"/>
      <protection/>
    </xf>
    <xf numFmtId="2" fontId="31" fillId="33" borderId="25" xfId="82" applyNumberFormat="1" applyFont="1" applyFill="1" applyBorder="1" applyAlignment="1" applyProtection="1">
      <alignment horizontal="center"/>
      <protection locked="0"/>
    </xf>
    <xf numFmtId="167" fontId="31" fillId="33" borderId="32" xfId="82" applyNumberFormat="1" applyFont="1" applyFill="1" applyBorder="1" applyAlignment="1" applyProtection="1">
      <alignment horizontal="center"/>
      <protection locked="0"/>
    </xf>
    <xf numFmtId="2" fontId="87" fillId="55" borderId="25" xfId="82" applyNumberFormat="1" applyFont="1" applyFill="1" applyBorder="1" applyAlignment="1" applyProtection="1">
      <alignment horizontal="center"/>
      <protection locked="0"/>
    </xf>
    <xf numFmtId="2" fontId="10" fillId="56" borderId="25" xfId="82" applyNumberFormat="1" applyFont="1" applyFill="1" applyBorder="1" applyAlignment="1">
      <alignment horizontal="center"/>
      <protection/>
    </xf>
    <xf numFmtId="1" fontId="9" fillId="0" borderId="25" xfId="87" applyNumberFormat="1" applyFont="1" applyFill="1" applyBorder="1" applyAlignment="1" applyProtection="1">
      <alignment horizontal="center"/>
      <protection locked="0"/>
    </xf>
    <xf numFmtId="0" fontId="33" fillId="57" borderId="29" xfId="82" applyFont="1" applyFill="1" applyBorder="1" applyAlignment="1">
      <alignment horizontal="center" wrapText="1"/>
      <protection/>
    </xf>
    <xf numFmtId="0" fontId="88" fillId="57" borderId="28" xfId="0" applyFont="1" applyFill="1" applyBorder="1" applyAlignment="1">
      <alignment/>
    </xf>
    <xf numFmtId="0" fontId="88" fillId="57" borderId="28" xfId="83" applyFont="1" applyFill="1" applyBorder="1">
      <alignment/>
      <protection/>
    </xf>
    <xf numFmtId="0" fontId="0" fillId="57" borderId="0" xfId="0" applyFill="1" applyAlignment="1" applyProtection="1">
      <alignment horizontal="left"/>
      <protection hidden="1"/>
    </xf>
    <xf numFmtId="49" fontId="50" fillId="58" borderId="20" xfId="84" applyNumberFormat="1" applyFont="1" applyFill="1" applyBorder="1" applyAlignment="1" applyProtection="1">
      <alignment horizontal="left"/>
      <protection locked="0"/>
    </xf>
    <xf numFmtId="0" fontId="9" fillId="0" borderId="0" xfId="81" applyFont="1" applyProtection="1">
      <alignment/>
      <protection hidden="1"/>
    </xf>
    <xf numFmtId="0" fontId="10" fillId="0" borderId="0" xfId="81" applyProtection="1">
      <alignment/>
      <protection hidden="1"/>
    </xf>
    <xf numFmtId="0" fontId="34" fillId="0" borderId="28" xfId="81" applyFont="1" applyBorder="1" applyProtection="1">
      <alignment/>
      <protection hidden="1"/>
    </xf>
    <xf numFmtId="0" fontId="85" fillId="0" borderId="28" xfId="0" applyFont="1" applyBorder="1" applyAlignment="1" applyProtection="1">
      <alignment/>
      <protection hidden="1"/>
    </xf>
    <xf numFmtId="0" fontId="85" fillId="0" borderId="0" xfId="0" applyFont="1" applyAlignment="1" applyProtection="1">
      <alignment/>
      <protection hidden="1"/>
    </xf>
    <xf numFmtId="2" fontId="10" fillId="0" borderId="28" xfId="0" applyNumberFormat="1" applyFont="1" applyBorder="1" applyAlignment="1" applyProtection="1">
      <alignment horizontal="center"/>
      <protection hidden="1"/>
    </xf>
    <xf numFmtId="0" fontId="34" fillId="0" borderId="0" xfId="81" applyFont="1" applyProtection="1">
      <alignment/>
      <protection hidden="1"/>
    </xf>
    <xf numFmtId="1" fontId="10" fillId="0" borderId="0" xfId="81" applyNumberFormat="1" applyProtection="1">
      <alignment/>
      <protection hidden="1"/>
    </xf>
    <xf numFmtId="0" fontId="9" fillId="0" borderId="0" xfId="82" applyFont="1" applyProtection="1">
      <alignment/>
      <protection hidden="1"/>
    </xf>
    <xf numFmtId="0" fontId="10" fillId="0" borderId="0" xfId="81" applyAlignment="1" applyProtection="1">
      <alignment horizontal="center"/>
      <protection hidden="1"/>
    </xf>
    <xf numFmtId="0" fontId="9" fillId="0" borderId="28" xfId="82" applyFont="1" applyBorder="1" applyProtection="1">
      <alignment/>
      <protection hidden="1"/>
    </xf>
    <xf numFmtId="0" fontId="92" fillId="0" borderId="28" xfId="0" applyFont="1" applyBorder="1" applyAlignment="1" applyProtection="1">
      <alignment/>
      <protection hidden="1"/>
    </xf>
    <xf numFmtId="0" fontId="9" fillId="0" borderId="28" xfId="81" applyFont="1" applyBorder="1" applyProtection="1">
      <alignment/>
      <protection hidden="1"/>
    </xf>
    <xf numFmtId="0" fontId="85" fillId="0" borderId="45" xfId="0" applyFont="1" applyBorder="1" applyAlignment="1" applyProtection="1">
      <alignment/>
      <protection hidden="1"/>
    </xf>
    <xf numFmtId="0" fontId="9" fillId="0" borderId="45" xfId="82" applyFont="1" applyBorder="1" applyProtection="1">
      <alignment/>
      <protection hidden="1"/>
    </xf>
    <xf numFmtId="0" fontId="10" fillId="0" borderId="36" xfId="81" applyBorder="1" applyProtection="1">
      <alignment/>
      <protection hidden="1"/>
    </xf>
    <xf numFmtId="1" fontId="9" fillId="0" borderId="36" xfId="81" applyNumberFormat="1" applyFont="1" applyBorder="1" applyAlignment="1" applyProtection="1">
      <alignment horizontal="center"/>
      <protection hidden="1"/>
    </xf>
    <xf numFmtId="1" fontId="10" fillId="0" borderId="0" xfId="81" applyNumberFormat="1" applyAlignment="1" applyProtection="1">
      <alignment horizontal="center"/>
      <protection hidden="1"/>
    </xf>
    <xf numFmtId="0" fontId="10" fillId="0" borderId="28" xfId="82" applyFont="1" applyBorder="1" applyAlignment="1" applyProtection="1">
      <alignment vertical="center"/>
      <protection hidden="1"/>
    </xf>
    <xf numFmtId="1" fontId="46" fillId="33" borderId="28" xfId="82" applyNumberFormat="1" applyFont="1" applyFill="1" applyBorder="1" applyAlignment="1" applyProtection="1">
      <alignment horizontal="center"/>
      <protection hidden="1"/>
    </xf>
    <xf numFmtId="1" fontId="10" fillId="56" borderId="28" xfId="81" applyNumberFormat="1" applyFill="1" applyBorder="1" applyAlignment="1" applyProtection="1">
      <alignment horizontal="center"/>
      <protection hidden="1"/>
    </xf>
    <xf numFmtId="167" fontId="46" fillId="33" borderId="28" xfId="82" applyNumberFormat="1" applyFont="1" applyFill="1" applyBorder="1" applyAlignment="1" applyProtection="1">
      <alignment horizontal="center"/>
      <protection hidden="1"/>
    </xf>
    <xf numFmtId="167" fontId="10" fillId="56" borderId="28" xfId="81" applyNumberFormat="1" applyFill="1" applyBorder="1" applyAlignment="1" applyProtection="1">
      <alignment horizontal="center"/>
      <protection hidden="1"/>
    </xf>
    <xf numFmtId="0" fontId="10" fillId="0" borderId="28" xfId="0" applyFont="1" applyBorder="1" applyAlignment="1" applyProtection="1">
      <alignment/>
      <protection hidden="1"/>
    </xf>
    <xf numFmtId="1" fontId="10" fillId="61" borderId="28" xfId="0" applyNumberFormat="1" applyFont="1" applyFill="1" applyBorder="1" applyAlignment="1" applyProtection="1">
      <alignment horizontal="center"/>
      <protection hidden="1"/>
    </xf>
    <xf numFmtId="1" fontId="85" fillId="0" borderId="28" xfId="0" applyNumberFormat="1" applyFont="1" applyBorder="1" applyAlignment="1" applyProtection="1">
      <alignment horizontal="center"/>
      <protection hidden="1"/>
    </xf>
    <xf numFmtId="1" fontId="10" fillId="0" borderId="28" xfId="0" applyNumberFormat="1" applyFont="1" applyBorder="1" applyAlignment="1" applyProtection="1">
      <alignment horizontal="center"/>
      <protection hidden="1"/>
    </xf>
    <xf numFmtId="1" fontId="10" fillId="0" borderId="28" xfId="81" applyNumberFormat="1" applyBorder="1" applyAlignment="1" applyProtection="1">
      <alignment horizontal="center"/>
      <protection hidden="1"/>
    </xf>
    <xf numFmtId="1" fontId="9" fillId="0" borderId="36" xfId="81" applyNumberFormat="1" applyFont="1" applyBorder="1" applyProtection="1">
      <alignment/>
      <protection hidden="1"/>
    </xf>
    <xf numFmtId="0" fontId="9" fillId="0" borderId="36" xfId="81" applyFont="1" applyBorder="1" applyProtection="1">
      <alignment/>
      <protection hidden="1"/>
    </xf>
    <xf numFmtId="0" fontId="10" fillId="20" borderId="0" xfId="81" applyFill="1" applyProtection="1">
      <alignment/>
      <protection hidden="1"/>
    </xf>
    <xf numFmtId="1" fontId="10" fillId="20" borderId="0" xfId="81" applyNumberFormat="1" applyFill="1" applyProtection="1">
      <alignment/>
      <protection hidden="1"/>
    </xf>
    <xf numFmtId="3" fontId="10" fillId="0" borderId="0" xfId="82" applyNumberFormat="1" applyFont="1" applyAlignment="1" applyProtection="1">
      <alignment horizontal="center" vertical="center"/>
      <protection hidden="1"/>
    </xf>
    <xf numFmtId="3" fontId="10" fillId="56" borderId="28" xfId="82" applyNumberFormat="1" applyFont="1" applyFill="1" applyBorder="1" applyAlignment="1" applyProtection="1">
      <alignment horizontal="center" vertical="center"/>
      <protection hidden="1"/>
    </xf>
    <xf numFmtId="0" fontId="85" fillId="0" borderId="26" xfId="0" applyFont="1" applyBorder="1" applyAlignment="1" applyProtection="1">
      <alignment/>
      <protection hidden="1"/>
    </xf>
    <xf numFmtId="9" fontId="10" fillId="56" borderId="28" xfId="85" applyFont="1" applyFill="1" applyBorder="1" applyAlignment="1" applyProtection="1">
      <alignment horizontal="center"/>
      <protection hidden="1"/>
    </xf>
    <xf numFmtId="0" fontId="10" fillId="20" borderId="46" xfId="81" applyFill="1" applyBorder="1" applyProtection="1">
      <alignment/>
      <protection hidden="1"/>
    </xf>
    <xf numFmtId="3" fontId="10" fillId="20" borderId="0" xfId="81" applyNumberFormat="1" applyFill="1" applyProtection="1">
      <alignment/>
      <protection hidden="1"/>
    </xf>
    <xf numFmtId="3" fontId="10" fillId="20" borderId="46" xfId="81" applyNumberFormat="1" applyFill="1" applyBorder="1" applyProtection="1">
      <alignment/>
      <protection hidden="1"/>
    </xf>
    <xf numFmtId="0" fontId="85" fillId="0" borderId="0" xfId="83" applyFont="1" applyAlignment="1" applyProtection="1">
      <alignment horizontal="center"/>
      <protection hidden="1"/>
    </xf>
    <xf numFmtId="0" fontId="9" fillId="0" borderId="28" xfId="82" applyFont="1" applyBorder="1" applyAlignment="1" applyProtection="1">
      <alignment vertical="center"/>
      <protection hidden="1"/>
    </xf>
    <xf numFmtId="0" fontId="10" fillId="56" borderId="28" xfId="85" applyNumberFormat="1" applyFont="1" applyFill="1" applyBorder="1" applyAlignment="1" applyProtection="1">
      <alignment horizontal="center"/>
      <protection hidden="1"/>
    </xf>
    <xf numFmtId="1" fontId="10" fillId="0" borderId="28" xfId="0" applyNumberFormat="1" applyFont="1" applyBorder="1" applyAlignment="1" applyProtection="1">
      <alignment/>
      <protection hidden="1"/>
    </xf>
    <xf numFmtId="0" fontId="10" fillId="20" borderId="47" xfId="81" applyFill="1" applyBorder="1" applyProtection="1">
      <alignment/>
      <protection hidden="1"/>
    </xf>
    <xf numFmtId="3" fontId="9" fillId="25" borderId="47" xfId="81" applyNumberFormat="1" applyFont="1" applyFill="1" applyBorder="1" applyProtection="1">
      <alignment/>
      <protection hidden="1"/>
    </xf>
    <xf numFmtId="3" fontId="9" fillId="20" borderId="47" xfId="81" applyNumberFormat="1" applyFont="1" applyFill="1" applyBorder="1" applyProtection="1">
      <alignment/>
      <protection hidden="1"/>
    </xf>
    <xf numFmtId="0" fontId="10" fillId="0" borderId="46" xfId="81" applyBorder="1" applyProtection="1">
      <alignment/>
      <protection hidden="1"/>
    </xf>
    <xf numFmtId="1" fontId="10" fillId="0" borderId="46" xfId="81" applyNumberFormat="1" applyBorder="1" applyProtection="1">
      <alignment/>
      <protection hidden="1"/>
    </xf>
    <xf numFmtId="0" fontId="10" fillId="54" borderId="0" xfId="81" applyFill="1" applyProtection="1">
      <alignment/>
      <protection hidden="1"/>
    </xf>
    <xf numFmtId="1" fontId="10" fillId="54" borderId="0" xfId="81" applyNumberFormat="1" applyFill="1" applyProtection="1">
      <alignment/>
      <protection hidden="1"/>
    </xf>
    <xf numFmtId="0" fontId="10" fillId="20" borderId="24" xfId="81" applyFill="1" applyBorder="1" applyProtection="1">
      <alignment/>
      <protection hidden="1"/>
    </xf>
    <xf numFmtId="0" fontId="10" fillId="20" borderId="36" xfId="81" applyFill="1" applyBorder="1" applyProtection="1">
      <alignment/>
      <protection hidden="1"/>
    </xf>
    <xf numFmtId="9" fontId="10" fillId="20" borderId="24" xfId="84" applyFont="1" applyFill="1" applyBorder="1" applyAlignment="1" applyProtection="1">
      <alignment/>
      <protection hidden="1"/>
    </xf>
    <xf numFmtId="9" fontId="10" fillId="0" borderId="0" xfId="84" applyFont="1" applyFill="1" applyBorder="1" applyAlignment="1" applyProtection="1">
      <alignment horizontal="center"/>
      <protection hidden="1"/>
    </xf>
    <xf numFmtId="3" fontId="9" fillId="0" borderId="0" xfId="81" applyNumberFormat="1" applyFont="1" applyProtection="1">
      <alignment/>
      <protection hidden="1"/>
    </xf>
    <xf numFmtId="166" fontId="85" fillId="0" borderId="28" xfId="84" applyNumberFormat="1" applyFont="1" applyFill="1" applyBorder="1" applyAlignment="1" applyProtection="1">
      <alignment horizontal="center"/>
      <protection hidden="1"/>
    </xf>
    <xf numFmtId="166" fontId="10" fillId="0" borderId="28" xfId="84" applyNumberFormat="1" applyFont="1" applyFill="1" applyBorder="1" applyAlignment="1" applyProtection="1">
      <alignment horizontal="center"/>
      <protection hidden="1"/>
    </xf>
    <xf numFmtId="9" fontId="10" fillId="0" borderId="0" xfId="85" applyFont="1" applyFill="1" applyBorder="1" applyAlignment="1" applyProtection="1">
      <alignment/>
      <protection hidden="1"/>
    </xf>
    <xf numFmtId="14" fontId="10" fillId="0" borderId="0" xfId="81" applyNumberFormat="1" applyProtection="1">
      <alignment/>
      <protection hidden="1"/>
    </xf>
    <xf numFmtId="0" fontId="10" fillId="26" borderId="0" xfId="81" applyFill="1" applyProtection="1">
      <alignment/>
      <protection hidden="1"/>
    </xf>
    <xf numFmtId="3" fontId="10" fillId="26" borderId="0" xfId="81" applyNumberFormat="1" applyFill="1" applyProtection="1">
      <alignment/>
      <protection hidden="1"/>
    </xf>
    <xf numFmtId="0" fontId="10" fillId="0" borderId="28" xfId="81" applyBorder="1" applyProtection="1">
      <alignment/>
      <protection hidden="1"/>
    </xf>
    <xf numFmtId="0" fontId="10" fillId="20" borderId="48" xfId="81" applyFill="1" applyBorder="1" applyProtection="1">
      <alignment/>
      <protection hidden="1"/>
    </xf>
    <xf numFmtId="1" fontId="10" fillId="20" borderId="48" xfId="81" applyNumberFormat="1" applyFill="1" applyBorder="1" applyProtection="1">
      <alignment/>
      <protection hidden="1"/>
    </xf>
    <xf numFmtId="0" fontId="9" fillId="0" borderId="0" xfId="81" applyFont="1" applyProtection="1" quotePrefix="1">
      <alignment/>
      <protection hidden="1"/>
    </xf>
    <xf numFmtId="0" fontId="85" fillId="0" borderId="28" xfId="0" applyFont="1" applyBorder="1" applyAlignment="1" applyProtection="1">
      <alignment horizontal="center"/>
      <protection hidden="1"/>
    </xf>
    <xf numFmtId="168" fontId="10" fillId="0" borderId="0" xfId="81" applyNumberFormat="1" applyProtection="1">
      <alignment/>
      <protection hidden="1"/>
    </xf>
    <xf numFmtId="9" fontId="46" fillId="33" borderId="28" xfId="84" applyFont="1" applyFill="1" applyBorder="1" applyAlignment="1" applyProtection="1">
      <alignment horizontal="center"/>
      <protection hidden="1"/>
    </xf>
    <xf numFmtId="9" fontId="10" fillId="56" borderId="28" xfId="84" applyFont="1" applyFill="1" applyBorder="1" applyAlignment="1" applyProtection="1">
      <alignment horizontal="center"/>
      <protection hidden="1"/>
    </xf>
    <xf numFmtId="168" fontId="10" fillId="0" borderId="46" xfId="81" applyNumberFormat="1" applyBorder="1" applyProtection="1">
      <alignment/>
      <protection hidden="1"/>
    </xf>
    <xf numFmtId="9" fontId="10" fillId="0" borderId="0" xfId="84" applyFont="1" applyFill="1" applyAlignment="1" applyProtection="1">
      <alignment/>
      <protection hidden="1"/>
    </xf>
    <xf numFmtId="9" fontId="85" fillId="0" borderId="28" xfId="84" applyFont="1" applyBorder="1" applyAlignment="1" applyProtection="1">
      <alignment/>
      <protection hidden="1"/>
    </xf>
    <xf numFmtId="9" fontId="85" fillId="0" borderId="28" xfId="84" applyFont="1" applyFill="1" applyBorder="1" applyAlignment="1" applyProtection="1">
      <alignment/>
      <protection hidden="1"/>
    </xf>
    <xf numFmtId="1" fontId="9" fillId="0" borderId="28" xfId="81" applyNumberFormat="1" applyFont="1" applyBorder="1" applyAlignment="1" applyProtection="1">
      <alignment horizontal="center"/>
      <protection hidden="1"/>
    </xf>
    <xf numFmtId="3" fontId="12" fillId="0" borderId="0" xfId="81" applyNumberFormat="1" applyFont="1" applyProtection="1">
      <alignment/>
      <protection hidden="1"/>
    </xf>
    <xf numFmtId="9" fontId="10" fillId="20" borderId="0" xfId="85" applyFont="1" applyFill="1" applyBorder="1" applyAlignment="1" applyProtection="1">
      <alignment/>
      <protection hidden="1"/>
    </xf>
    <xf numFmtId="9" fontId="10" fillId="0" borderId="46" xfId="84" applyFont="1" applyFill="1" applyBorder="1" applyAlignment="1" applyProtection="1">
      <alignment/>
      <protection hidden="1"/>
    </xf>
    <xf numFmtId="1" fontId="10" fillId="0" borderId="28" xfId="82" applyNumberFormat="1" applyFont="1" applyBorder="1" applyAlignment="1" applyProtection="1">
      <alignment horizontal="center"/>
      <protection hidden="1"/>
    </xf>
    <xf numFmtId="166" fontId="10" fillId="20" borderId="0" xfId="84" applyNumberFormat="1" applyFont="1" applyFill="1" applyBorder="1" applyAlignment="1" applyProtection="1">
      <alignment/>
      <protection hidden="1"/>
    </xf>
    <xf numFmtId="3" fontId="12" fillId="0" borderId="46" xfId="81" applyNumberFormat="1" applyFont="1" applyBorder="1" applyProtection="1">
      <alignment/>
      <protection hidden="1"/>
    </xf>
    <xf numFmtId="166" fontId="10" fillId="20" borderId="46" xfId="85" applyNumberFormat="1" applyFont="1" applyFill="1" applyBorder="1" applyAlignment="1" applyProtection="1">
      <alignment/>
      <protection hidden="1"/>
    </xf>
    <xf numFmtId="0" fontId="10" fillId="0" borderId="0" xfId="82" applyFont="1" applyAlignment="1" applyProtection="1">
      <alignment horizontal="center" vertical="center"/>
      <protection hidden="1"/>
    </xf>
    <xf numFmtId="0" fontId="46" fillId="33" borderId="28" xfId="84" applyNumberFormat="1" applyFont="1" applyFill="1" applyBorder="1" applyAlignment="1" applyProtection="1">
      <alignment horizontal="center"/>
      <protection hidden="1"/>
    </xf>
    <xf numFmtId="9" fontId="10" fillId="0" borderId="28" xfId="84" applyFont="1" applyFill="1" applyBorder="1" applyAlignment="1" applyProtection="1">
      <alignment horizontal="center"/>
      <protection hidden="1"/>
    </xf>
    <xf numFmtId="1" fontId="85" fillId="0" borderId="28" xfId="0" applyNumberFormat="1" applyFont="1" applyBorder="1" applyAlignment="1" applyProtection="1">
      <alignment/>
      <protection hidden="1"/>
    </xf>
    <xf numFmtId="3" fontId="10" fillId="54" borderId="0" xfId="81" applyNumberFormat="1" applyFill="1" applyProtection="1">
      <alignment/>
      <protection hidden="1"/>
    </xf>
    <xf numFmtId="0" fontId="10" fillId="54" borderId="46" xfId="81" applyFill="1" applyBorder="1" applyProtection="1">
      <alignment/>
      <protection hidden="1"/>
    </xf>
    <xf numFmtId="3" fontId="10" fillId="54" borderId="46" xfId="81" applyNumberFormat="1" applyFill="1" applyBorder="1" applyProtection="1">
      <alignment/>
      <protection hidden="1"/>
    </xf>
    <xf numFmtId="0" fontId="10" fillId="54" borderId="47" xfId="81" applyFill="1" applyBorder="1" applyProtection="1">
      <alignment/>
      <protection hidden="1"/>
    </xf>
    <xf numFmtId="3" fontId="9" fillId="54" borderId="47" xfId="81" applyNumberFormat="1" applyFont="1" applyFill="1" applyBorder="1" applyProtection="1">
      <alignment/>
      <protection hidden="1"/>
    </xf>
    <xf numFmtId="0" fontId="10" fillId="54" borderId="36" xfId="81" applyFill="1" applyBorder="1" applyProtection="1">
      <alignment/>
      <protection hidden="1"/>
    </xf>
    <xf numFmtId="9" fontId="10" fillId="54" borderId="36" xfId="84" applyFont="1" applyFill="1" applyBorder="1" applyAlignment="1" applyProtection="1">
      <alignment/>
      <protection hidden="1"/>
    </xf>
    <xf numFmtId="167" fontId="85" fillId="0" borderId="28" xfId="0" applyNumberFormat="1" applyFont="1" applyBorder="1" applyAlignment="1" applyProtection="1">
      <alignment horizontal="center"/>
      <protection hidden="1"/>
    </xf>
    <xf numFmtId="167" fontId="85" fillId="56" borderId="28" xfId="0" applyNumberFormat="1" applyFont="1" applyFill="1" applyBorder="1" applyAlignment="1" applyProtection="1">
      <alignment horizontal="center"/>
      <protection hidden="1"/>
    </xf>
    <xf numFmtId="1" fontId="9" fillId="62" borderId="28" xfId="81" applyNumberFormat="1" applyFont="1" applyFill="1" applyBorder="1" applyAlignment="1" applyProtection="1">
      <alignment horizontal="center"/>
      <protection hidden="1"/>
    </xf>
    <xf numFmtId="1" fontId="9" fillId="25" borderId="28" xfId="81" applyNumberFormat="1" applyFont="1" applyFill="1" applyBorder="1" applyAlignment="1" applyProtection="1">
      <alignment horizontal="center"/>
      <protection hidden="1"/>
    </xf>
    <xf numFmtId="166" fontId="85" fillId="0" borderId="28" xfId="0" applyNumberFormat="1" applyFont="1" applyBorder="1" applyAlignment="1" applyProtection="1">
      <alignment horizontal="center"/>
      <protection hidden="1"/>
    </xf>
    <xf numFmtId="0" fontId="10" fillId="54" borderId="48" xfId="81" applyFill="1" applyBorder="1" applyProtection="1">
      <alignment/>
      <protection hidden="1"/>
    </xf>
    <xf numFmtId="1" fontId="10" fillId="54" borderId="48" xfId="81" applyNumberFormat="1" applyFill="1" applyBorder="1" applyProtection="1">
      <alignment/>
      <protection hidden="1"/>
    </xf>
    <xf numFmtId="3" fontId="9" fillId="62" borderId="28" xfId="81" applyNumberFormat="1" applyFont="1" applyFill="1" applyBorder="1" applyAlignment="1" applyProtection="1">
      <alignment horizontal="center"/>
      <protection hidden="1"/>
    </xf>
    <xf numFmtId="3" fontId="10" fillId="0" borderId="28" xfId="81" applyNumberFormat="1" applyBorder="1" applyAlignment="1" applyProtection="1">
      <alignment horizontal="center"/>
      <protection hidden="1"/>
    </xf>
    <xf numFmtId="3" fontId="9" fillId="25" borderId="28" xfId="81" applyNumberFormat="1" applyFont="1" applyFill="1" applyBorder="1" applyAlignment="1" applyProtection="1">
      <alignment horizontal="center"/>
      <protection hidden="1"/>
    </xf>
    <xf numFmtId="3" fontId="10" fillId="0" borderId="0" xfId="81" applyNumberFormat="1" applyProtection="1">
      <alignment/>
      <protection hidden="1"/>
    </xf>
    <xf numFmtId="1" fontId="10" fillId="63" borderId="0" xfId="81" applyNumberFormat="1" applyFill="1" applyProtection="1">
      <alignment/>
      <protection hidden="1"/>
    </xf>
    <xf numFmtId="9" fontId="10" fillId="54" borderId="0" xfId="85" applyFont="1" applyFill="1" applyBorder="1" applyAlignment="1" applyProtection="1">
      <alignment/>
      <protection hidden="1"/>
    </xf>
    <xf numFmtId="166" fontId="10" fillId="54" borderId="0" xfId="85" applyNumberFormat="1" applyFont="1" applyFill="1" applyBorder="1" applyAlignment="1" applyProtection="1">
      <alignment/>
      <protection hidden="1"/>
    </xf>
    <xf numFmtId="166" fontId="10" fillId="54" borderId="46" xfId="85" applyNumberFormat="1" applyFont="1" applyFill="1" applyBorder="1" applyAlignment="1" applyProtection="1">
      <alignment/>
      <protection hidden="1"/>
    </xf>
    <xf numFmtId="9" fontId="10" fillId="61" borderId="28" xfId="85" applyFont="1" applyFill="1" applyBorder="1" applyAlignment="1" applyProtection="1">
      <alignment horizontal="center"/>
      <protection hidden="1"/>
    </xf>
    <xf numFmtId="9" fontId="85" fillId="0" borderId="28" xfId="84" applyFont="1" applyFill="1" applyBorder="1" applyAlignment="1" applyProtection="1">
      <alignment horizontal="center"/>
      <protection hidden="1"/>
    </xf>
    <xf numFmtId="9" fontId="10" fillId="0" borderId="28" xfId="85" applyFont="1" applyFill="1" applyBorder="1" applyAlignment="1" applyProtection="1">
      <alignment horizontal="center"/>
      <protection hidden="1"/>
    </xf>
    <xf numFmtId="0" fontId="85" fillId="0" borderId="28" xfId="83" applyFont="1" applyBorder="1" applyProtection="1">
      <alignment/>
      <protection hidden="1"/>
    </xf>
    <xf numFmtId="9" fontId="85" fillId="56" borderId="28" xfId="84" applyFont="1" applyFill="1" applyBorder="1" applyAlignment="1" applyProtection="1">
      <alignment horizontal="center"/>
      <protection hidden="1"/>
    </xf>
    <xf numFmtId="9" fontId="85" fillId="0" borderId="28" xfId="84" applyFont="1" applyBorder="1" applyAlignment="1" applyProtection="1">
      <alignment horizontal="center"/>
      <protection hidden="1"/>
    </xf>
    <xf numFmtId="9" fontId="85" fillId="0" borderId="0" xfId="84" applyFont="1" applyFill="1" applyBorder="1" applyAlignment="1" applyProtection="1">
      <alignment horizontal="center"/>
      <protection hidden="1"/>
    </xf>
    <xf numFmtId="2" fontId="85" fillId="0" borderId="28" xfId="0" applyNumberFormat="1" applyFont="1" applyBorder="1" applyAlignment="1" applyProtection="1">
      <alignment horizontal="center"/>
      <protection hidden="1"/>
    </xf>
    <xf numFmtId="0" fontId="10" fillId="26" borderId="46" xfId="81" applyFill="1" applyBorder="1" applyProtection="1">
      <alignment/>
      <protection hidden="1"/>
    </xf>
    <xf numFmtId="3" fontId="10" fillId="26" borderId="46" xfId="81" applyNumberFormat="1" applyFill="1" applyBorder="1" applyProtection="1">
      <alignment/>
      <protection hidden="1"/>
    </xf>
    <xf numFmtId="2" fontId="10" fillId="61" borderId="28" xfId="0" applyNumberFormat="1" applyFont="1" applyFill="1" applyBorder="1" applyAlignment="1" applyProtection="1">
      <alignment horizontal="center"/>
      <protection hidden="1"/>
    </xf>
    <xf numFmtId="2" fontId="85" fillId="56" borderId="28" xfId="0" applyNumberFormat="1" applyFont="1" applyFill="1" applyBorder="1" applyAlignment="1" applyProtection="1">
      <alignment horizontal="center"/>
      <protection hidden="1"/>
    </xf>
    <xf numFmtId="0" fontId="10" fillId="26" borderId="36" xfId="81" applyFill="1" applyBorder="1" applyProtection="1">
      <alignment/>
      <protection hidden="1"/>
    </xf>
    <xf numFmtId="3" fontId="9" fillId="25" borderId="36" xfId="81" applyNumberFormat="1" applyFont="1" applyFill="1" applyBorder="1" applyProtection="1">
      <alignment/>
      <protection hidden="1"/>
    </xf>
    <xf numFmtId="3" fontId="9" fillId="26" borderId="36" xfId="81" applyNumberFormat="1" applyFont="1" applyFill="1" applyBorder="1" applyProtection="1">
      <alignment/>
      <protection hidden="1"/>
    </xf>
    <xf numFmtId="1" fontId="10" fillId="26" borderId="0" xfId="81" applyNumberFormat="1" applyFill="1" applyProtection="1">
      <alignment/>
      <protection hidden="1"/>
    </xf>
    <xf numFmtId="2" fontId="10" fillId="0" borderId="28" xfId="81" applyNumberFormat="1" applyBorder="1" applyAlignment="1" applyProtection="1">
      <alignment horizontal="center"/>
      <protection hidden="1"/>
    </xf>
    <xf numFmtId="0" fontId="10" fillId="26" borderId="24" xfId="81" applyFill="1" applyBorder="1" applyProtection="1">
      <alignment/>
      <protection hidden="1"/>
    </xf>
    <xf numFmtId="2" fontId="10" fillId="26" borderId="36" xfId="81" applyNumberFormat="1" applyFill="1" applyBorder="1" applyProtection="1">
      <alignment/>
      <protection hidden="1"/>
    </xf>
    <xf numFmtId="2" fontId="10" fillId="26" borderId="24" xfId="81" applyNumberFormat="1" applyFill="1" applyBorder="1" applyProtection="1">
      <alignment/>
      <protection hidden="1"/>
    </xf>
    <xf numFmtId="2" fontId="85" fillId="0" borderId="0" xfId="0" applyNumberFormat="1" applyFont="1" applyAlignment="1" applyProtection="1">
      <alignment horizontal="center"/>
      <protection hidden="1"/>
    </xf>
    <xf numFmtId="1" fontId="10" fillId="26" borderId="46" xfId="81" applyNumberFormat="1" applyFill="1" applyBorder="1" applyProtection="1">
      <alignment/>
      <protection hidden="1"/>
    </xf>
    <xf numFmtId="0" fontId="10" fillId="0" borderId="28" xfId="83" applyFont="1" applyBorder="1" applyProtection="1">
      <alignment/>
      <protection hidden="1"/>
    </xf>
    <xf numFmtId="0" fontId="10" fillId="0" borderId="28" xfId="82" applyFont="1" applyBorder="1" applyAlignment="1" applyProtection="1">
      <alignment horizontal="center" vertical="center"/>
      <protection hidden="1"/>
    </xf>
    <xf numFmtId="167" fontId="10" fillId="0" borderId="0" xfId="81" applyNumberFormat="1" applyAlignment="1" applyProtection="1">
      <alignment horizontal="center"/>
      <protection hidden="1"/>
    </xf>
    <xf numFmtId="0" fontId="85" fillId="0" borderId="0" xfId="0" applyFont="1" applyAlignment="1" applyProtection="1">
      <alignment horizontal="center"/>
      <protection hidden="1"/>
    </xf>
    <xf numFmtId="0" fontId="9" fillId="0" borderId="36" xfId="81" applyFont="1" applyBorder="1" applyProtection="1" quotePrefix="1">
      <alignment/>
      <protection hidden="1"/>
    </xf>
    <xf numFmtId="1" fontId="10" fillId="64" borderId="35" xfId="81" applyNumberFormat="1" applyFill="1" applyBorder="1" applyProtection="1">
      <alignment/>
      <protection hidden="1"/>
    </xf>
    <xf numFmtId="0" fontId="10" fillId="26" borderId="0" xfId="81" applyFill="1" applyAlignment="1" applyProtection="1">
      <alignment horizontal="left"/>
      <protection hidden="1"/>
    </xf>
    <xf numFmtId="1" fontId="10" fillId="64" borderId="0" xfId="81" applyNumberFormat="1" applyFill="1" applyProtection="1">
      <alignment/>
      <protection hidden="1"/>
    </xf>
    <xf numFmtId="1" fontId="10" fillId="64" borderId="46" xfId="81" applyNumberFormat="1" applyFill="1" applyBorder="1" applyProtection="1">
      <alignment/>
      <protection hidden="1"/>
    </xf>
    <xf numFmtId="3" fontId="10" fillId="0" borderId="46" xfId="81" applyNumberFormat="1" applyBorder="1" applyProtection="1">
      <alignment/>
      <protection hidden="1"/>
    </xf>
    <xf numFmtId="0" fontId="10" fillId="26" borderId="49" xfId="81" applyFill="1" applyBorder="1" applyProtection="1">
      <alignment/>
      <protection hidden="1"/>
    </xf>
    <xf numFmtId="1" fontId="10" fillId="26" borderId="49" xfId="81" applyNumberFormat="1" applyFill="1" applyBorder="1" applyProtection="1">
      <alignment/>
      <protection hidden="1"/>
    </xf>
    <xf numFmtId="9" fontId="10" fillId="0" borderId="0" xfId="81" applyNumberFormat="1" applyProtection="1">
      <alignment/>
      <protection hidden="1"/>
    </xf>
    <xf numFmtId="2" fontId="0" fillId="0" borderId="0" xfId="0" applyNumberFormat="1" applyAlignment="1" applyProtection="1">
      <alignment/>
      <protection hidden="1"/>
    </xf>
    <xf numFmtId="0" fontId="83" fillId="0" borderId="28" xfId="0" applyFont="1" applyBorder="1" applyAlignment="1" applyProtection="1">
      <alignment/>
      <protection hidden="1"/>
    </xf>
    <xf numFmtId="9" fontId="10" fillId="26" borderId="0" xfId="85" applyFont="1" applyFill="1" applyBorder="1" applyAlignment="1" applyProtection="1">
      <alignment/>
      <protection hidden="1"/>
    </xf>
    <xf numFmtId="9" fontId="10" fillId="26" borderId="46" xfId="85" applyFont="1" applyFill="1" applyBorder="1" applyAlignment="1" applyProtection="1">
      <alignment/>
      <protection hidden="1"/>
    </xf>
    <xf numFmtId="9" fontId="10" fillId="0" borderId="0" xfId="84" applyFont="1" applyAlignment="1" applyProtection="1">
      <alignment/>
      <protection hidden="1"/>
    </xf>
    <xf numFmtId="167" fontId="10" fillId="0" borderId="28" xfId="81" applyNumberFormat="1" applyBorder="1" applyAlignment="1" applyProtection="1">
      <alignment horizontal="center"/>
      <protection hidden="1"/>
    </xf>
    <xf numFmtId="0" fontId="92" fillId="0" borderId="28" xfId="0" applyFont="1" applyBorder="1" applyAlignment="1" applyProtection="1">
      <alignment horizontal="center"/>
      <protection hidden="1"/>
    </xf>
    <xf numFmtId="1" fontId="9" fillId="65" borderId="28" xfId="81" applyNumberFormat="1" applyFont="1" applyFill="1" applyBorder="1" applyAlignment="1" applyProtection="1">
      <alignment horizontal="center"/>
      <protection hidden="1"/>
    </xf>
    <xf numFmtId="1" fontId="10" fillId="64" borderId="28" xfId="81" applyNumberFormat="1" applyFill="1" applyBorder="1" applyAlignment="1" applyProtection="1">
      <alignment horizontal="center"/>
      <protection hidden="1"/>
    </xf>
    <xf numFmtId="0" fontId="10" fillId="0" borderId="28" xfId="81" applyBorder="1" applyAlignment="1" applyProtection="1">
      <alignment horizontal="center"/>
      <protection hidden="1"/>
    </xf>
    <xf numFmtId="166" fontId="10" fillId="0" borderId="0" xfId="84" applyNumberFormat="1" applyFont="1" applyFill="1" applyBorder="1" applyAlignment="1" applyProtection="1">
      <alignment horizontal="center"/>
      <protection hidden="1"/>
    </xf>
    <xf numFmtId="9" fontId="92" fillId="0" borderId="28" xfId="84" applyFont="1" applyFill="1" applyBorder="1" applyAlignment="1" applyProtection="1">
      <alignment horizontal="center"/>
      <protection hidden="1"/>
    </xf>
    <xf numFmtId="169" fontId="9" fillId="0" borderId="28" xfId="81" applyNumberFormat="1" applyFont="1" applyBorder="1" applyProtection="1">
      <alignment/>
      <protection hidden="1"/>
    </xf>
    <xf numFmtId="0" fontId="88" fillId="57" borderId="45" xfId="83" applyFont="1" applyFill="1" applyBorder="1">
      <alignment/>
      <protection/>
    </xf>
    <xf numFmtId="0" fontId="88" fillId="57" borderId="50" xfId="0" applyFont="1" applyFill="1" applyBorder="1" applyAlignment="1">
      <alignment horizontal="left"/>
    </xf>
    <xf numFmtId="0" fontId="88" fillId="0" borderId="20" xfId="0" applyFont="1" applyBorder="1" applyAlignment="1">
      <alignment/>
    </xf>
    <xf numFmtId="3" fontId="0" fillId="59" borderId="0" xfId="0" applyNumberFormat="1" applyFill="1" applyAlignment="1" applyProtection="1">
      <alignment horizontal="center"/>
      <protection hidden="1" locked="0"/>
    </xf>
    <xf numFmtId="167" fontId="4" fillId="59" borderId="0" xfId="73" applyNumberFormat="1" applyFont="1" applyFill="1" applyBorder="1" applyAlignment="1" applyProtection="1">
      <alignment horizontal="center"/>
      <protection hidden="1" locked="0"/>
    </xf>
    <xf numFmtId="9" fontId="0" fillId="59" borderId="0" xfId="0" applyNumberFormat="1" applyFill="1" applyAlignment="1" applyProtection="1">
      <alignment horizontal="center"/>
      <protection hidden="1" locked="0"/>
    </xf>
    <xf numFmtId="2" fontId="6" fillId="59" borderId="0" xfId="0" applyNumberFormat="1" applyFont="1" applyFill="1" applyAlignment="1" applyProtection="1">
      <alignment horizontal="center"/>
      <protection hidden="1" locked="0"/>
    </xf>
    <xf numFmtId="1" fontId="6" fillId="59" borderId="0" xfId="0" applyNumberFormat="1" applyFont="1" applyFill="1" applyAlignment="1" applyProtection="1">
      <alignment horizontal="center"/>
      <protection hidden="1" locked="0"/>
    </xf>
    <xf numFmtId="0" fontId="88" fillId="57" borderId="0" xfId="0" applyFont="1" applyFill="1" applyAlignment="1">
      <alignment/>
    </xf>
    <xf numFmtId="0" fontId="88" fillId="57" borderId="0" xfId="0" applyFont="1" applyFill="1" applyAlignment="1">
      <alignment vertical="center"/>
    </xf>
    <xf numFmtId="0" fontId="10" fillId="57" borderId="0" xfId="82" applyFont="1" applyFill="1" applyAlignment="1">
      <alignment horizontal="center"/>
      <protection/>
    </xf>
    <xf numFmtId="0" fontId="10" fillId="56" borderId="29" xfId="82" applyFont="1" applyFill="1" applyBorder="1" applyAlignment="1">
      <alignment horizontal="center"/>
      <protection/>
    </xf>
    <xf numFmtId="1" fontId="85" fillId="57" borderId="0" xfId="83" applyNumberFormat="1" applyFont="1" applyFill="1" applyAlignment="1">
      <alignment horizontal="center"/>
      <protection/>
    </xf>
    <xf numFmtId="0" fontId="92" fillId="0" borderId="45" xfId="0" applyFont="1" applyBorder="1" applyAlignment="1" applyProtection="1">
      <alignment/>
      <protection hidden="1"/>
    </xf>
    <xf numFmtId="2" fontId="85" fillId="0" borderId="28" xfId="0" applyNumberFormat="1" applyFont="1" applyBorder="1" applyAlignment="1" applyProtection="1">
      <alignment/>
      <protection hidden="1"/>
    </xf>
    <xf numFmtId="0" fontId="96" fillId="57" borderId="0" xfId="83" applyFont="1" applyFill="1">
      <alignment/>
      <protection/>
    </xf>
    <xf numFmtId="0" fontId="61" fillId="0" borderId="0" xfId="83" applyFont="1">
      <alignment/>
      <protection/>
    </xf>
    <xf numFmtId="3" fontId="0" fillId="0" borderId="0" xfId="0" applyNumberFormat="1" applyAlignment="1">
      <alignment/>
    </xf>
    <xf numFmtId="0" fontId="88" fillId="0" borderId="0" xfId="0" applyFont="1" applyAlignment="1">
      <alignment/>
    </xf>
    <xf numFmtId="171" fontId="0" fillId="0" borderId="0" xfId="0" applyNumberFormat="1" applyAlignment="1">
      <alignment/>
    </xf>
    <xf numFmtId="9" fontId="0" fillId="0" borderId="0" xfId="0" applyNumberFormat="1" applyAlignment="1">
      <alignment/>
    </xf>
    <xf numFmtId="172" fontId="0" fillId="0" borderId="0" xfId="84" applyNumberFormat="1" applyFont="1" applyAlignment="1">
      <alignment/>
    </xf>
    <xf numFmtId="0" fontId="0" fillId="57" borderId="0" xfId="0" applyFill="1" applyAlignment="1">
      <alignment vertical="center" wrapText="1"/>
    </xf>
    <xf numFmtId="0" fontId="48" fillId="57" borderId="0" xfId="0" applyFont="1" applyFill="1" applyAlignment="1">
      <alignment horizontal="center" readingOrder="1"/>
    </xf>
    <xf numFmtId="0" fontId="4" fillId="57" borderId="0" xfId="0" applyFont="1" applyFill="1" applyAlignment="1">
      <alignment horizontal="center" readingOrder="1"/>
    </xf>
    <xf numFmtId="0" fontId="4" fillId="57" borderId="0" xfId="0" applyFont="1" applyFill="1" applyAlignment="1">
      <alignment readingOrder="1"/>
    </xf>
    <xf numFmtId="0" fontId="0" fillId="57" borderId="0" xfId="0" applyFill="1" applyAlignment="1">
      <alignment wrapText="1"/>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4" fillId="57" borderId="0" xfId="0" applyFont="1" applyFill="1" applyAlignment="1">
      <alignment vertical="center" wrapText="1"/>
    </xf>
    <xf numFmtId="0" fontId="0" fillId="0" borderId="0" xfId="0" applyAlignment="1">
      <alignment/>
    </xf>
    <xf numFmtId="0" fontId="2" fillId="57" borderId="0" xfId="0" applyFont="1" applyFill="1" applyAlignment="1">
      <alignment horizontal="center" readingOrder="1"/>
    </xf>
    <xf numFmtId="0" fontId="0" fillId="57" borderId="0" xfId="0" applyFill="1" applyAlignment="1">
      <alignment horizontal="center" readingOrder="1"/>
    </xf>
    <xf numFmtId="0" fontId="0" fillId="57" borderId="0" xfId="0" applyFill="1" applyAlignment="1">
      <alignment readingOrder="1"/>
    </xf>
    <xf numFmtId="0" fontId="4" fillId="0" borderId="0" xfId="0" applyFont="1" applyAlignment="1">
      <alignment/>
    </xf>
    <xf numFmtId="0" fontId="0" fillId="57" borderId="0" xfId="0" applyFill="1" applyAlignment="1">
      <alignment horizontal="left" vertical="center" wrapText="1"/>
    </xf>
    <xf numFmtId="0" fontId="6" fillId="57" borderId="0" xfId="0" applyFont="1" applyFill="1" applyAlignment="1">
      <alignment horizontal="left" vertical="center" wrapText="1" readingOrder="1"/>
    </xf>
    <xf numFmtId="0" fontId="0" fillId="0" borderId="0" xfId="0" applyAlignment="1">
      <alignment wrapText="1" readingOrder="1"/>
    </xf>
    <xf numFmtId="0" fontId="7" fillId="57" borderId="0" xfId="0" applyFont="1" applyFill="1" applyAlignment="1">
      <alignment horizontal="center" vertical="center" wrapText="1"/>
    </xf>
    <xf numFmtId="0" fontId="0" fillId="57" borderId="0" xfId="0" applyFill="1" applyAlignment="1">
      <alignment/>
    </xf>
    <xf numFmtId="0" fontId="4" fillId="57" borderId="0" xfId="0" applyFont="1" applyFill="1" applyAlignment="1">
      <alignment horizontal="left" vertical="center" wrapText="1" readingOrder="1"/>
    </xf>
    <xf numFmtId="0" fontId="4" fillId="57" borderId="0" xfId="0" applyFont="1" applyFill="1" applyAlignment="1">
      <alignment horizontal="left" vertical="center" wrapText="1"/>
    </xf>
    <xf numFmtId="0" fontId="4" fillId="57" borderId="0" xfId="0" applyFont="1" applyFill="1" applyAlignment="1">
      <alignment wrapText="1"/>
    </xf>
    <xf numFmtId="0" fontId="2" fillId="57" borderId="0" xfId="82" applyFont="1" applyFill="1" applyAlignment="1">
      <alignment horizontal="center"/>
      <protection/>
    </xf>
    <xf numFmtId="49" fontId="50" fillId="58" borderId="20" xfId="84" applyNumberFormat="1" applyFont="1" applyFill="1" applyBorder="1" applyAlignment="1" applyProtection="1">
      <alignment horizontal="left"/>
      <protection locked="0"/>
    </xf>
    <xf numFmtId="49" fontId="0" fillId="0" borderId="34" xfId="0" applyNumberFormat="1" applyBorder="1" applyAlignment="1" applyProtection="1">
      <alignment horizontal="left"/>
      <protection locked="0"/>
    </xf>
    <xf numFmtId="0" fontId="0" fillId="0" borderId="24" xfId="0" applyBorder="1" applyAlignment="1" applyProtection="1">
      <alignment horizontal="left"/>
      <protection locked="0"/>
    </xf>
    <xf numFmtId="0" fontId="0" fillId="0" borderId="34" xfId="0" applyBorder="1" applyAlignment="1" applyProtection="1">
      <alignment horizontal="left"/>
      <protection locked="0"/>
    </xf>
    <xf numFmtId="0" fontId="88" fillId="57" borderId="20" xfId="0" applyFont="1" applyFill="1" applyBorder="1" applyAlignment="1">
      <alignment horizontal="left"/>
    </xf>
    <xf numFmtId="0" fontId="88" fillId="57" borderId="34" xfId="0" applyFont="1" applyFill="1" applyBorder="1" applyAlignment="1">
      <alignment horizontal="left"/>
    </xf>
    <xf numFmtId="0" fontId="10" fillId="57" borderId="24" xfId="82" applyFont="1" applyFill="1" applyBorder="1" applyAlignment="1">
      <alignment vertical="center"/>
      <protection/>
    </xf>
    <xf numFmtId="0" fontId="0" fillId="0" borderId="24" xfId="0" applyBorder="1" applyAlignment="1">
      <alignment vertical="center"/>
    </xf>
    <xf numFmtId="0" fontId="0" fillId="0" borderId="20" xfId="83" applyFont="1" applyBorder="1">
      <alignment/>
      <protection/>
    </xf>
    <xf numFmtId="0" fontId="0" fillId="0" borderId="24" xfId="0" applyBorder="1" applyAlignment="1">
      <alignment/>
    </xf>
    <xf numFmtId="0" fontId="0" fillId="0" borderId="34" xfId="0" applyBorder="1" applyAlignment="1">
      <alignment/>
    </xf>
    <xf numFmtId="0" fontId="88" fillId="0" borderId="20" xfId="0" applyFont="1" applyBorder="1" applyAlignment="1" applyProtection="1">
      <alignment/>
      <protection locked="0"/>
    </xf>
    <xf numFmtId="0" fontId="0" fillId="57" borderId="0" xfId="83" applyFont="1" applyFill="1" applyAlignment="1">
      <alignment wrapText="1"/>
      <protection/>
    </xf>
    <xf numFmtId="0" fontId="10" fillId="57" borderId="35" xfId="82" applyFont="1" applyFill="1" applyBorder="1" applyAlignment="1">
      <alignment vertical="center"/>
      <protection/>
    </xf>
    <xf numFmtId="0" fontId="0" fillId="0" borderId="35" xfId="0" applyBorder="1" applyAlignment="1">
      <alignment vertical="center"/>
    </xf>
    <xf numFmtId="0" fontId="10" fillId="57" borderId="22" xfId="82" applyFont="1" applyFill="1" applyBorder="1" applyAlignment="1">
      <alignment vertical="center"/>
      <protection/>
    </xf>
    <xf numFmtId="0" fontId="0" fillId="0" borderId="22" xfId="0" applyBorder="1" applyAlignment="1">
      <alignment vertical="center"/>
    </xf>
    <xf numFmtId="0" fontId="9" fillId="57" borderId="29" xfId="82" applyFont="1" applyFill="1" applyBorder="1" applyAlignment="1">
      <alignment vertical="center"/>
      <protection/>
    </xf>
    <xf numFmtId="0" fontId="0" fillId="0" borderId="29" xfId="0" applyBorder="1" applyAlignment="1">
      <alignment/>
    </xf>
    <xf numFmtId="0" fontId="10" fillId="57" borderId="25" xfId="82" applyFont="1" applyFill="1" applyBorder="1" applyAlignment="1">
      <alignment vertical="center"/>
      <protection/>
    </xf>
    <xf numFmtId="0" fontId="0" fillId="0" borderId="25" xfId="0" applyBorder="1" applyAlignment="1">
      <alignment vertical="center"/>
    </xf>
    <xf numFmtId="0" fontId="10" fillId="57" borderId="29" xfId="82" applyFont="1" applyFill="1" applyBorder="1" applyAlignment="1">
      <alignment vertical="center"/>
      <protection/>
    </xf>
    <xf numFmtId="0" fontId="0" fillId="0" borderId="29" xfId="0" applyBorder="1" applyAlignment="1">
      <alignment vertical="center"/>
    </xf>
    <xf numFmtId="0" fontId="10" fillId="57" borderId="32" xfId="82" applyFont="1" applyFill="1" applyBorder="1" applyAlignment="1">
      <alignment vertical="center"/>
      <protection/>
    </xf>
    <xf numFmtId="0" fontId="10" fillId="57" borderId="0" xfId="82" applyFont="1" applyFill="1" applyAlignment="1">
      <alignment vertical="center"/>
      <protection/>
    </xf>
    <xf numFmtId="0" fontId="0" fillId="0" borderId="0" xfId="0" applyAlignment="1">
      <alignment vertical="center"/>
    </xf>
    <xf numFmtId="0" fontId="0" fillId="0" borderId="32" xfId="0" applyBorder="1" applyAlignment="1">
      <alignment vertical="center"/>
    </xf>
    <xf numFmtId="0" fontId="9" fillId="57" borderId="29" xfId="82" applyFont="1" applyFill="1" applyBorder="1">
      <alignment/>
      <protection/>
    </xf>
    <xf numFmtId="0" fontId="66" fillId="57" borderId="20" xfId="83" applyFill="1" applyBorder="1" applyProtection="1">
      <alignment/>
      <protection locked="0"/>
    </xf>
    <xf numFmtId="0" fontId="0" fillId="0" borderId="24" xfId="0" applyBorder="1" applyAlignment="1" applyProtection="1">
      <alignment/>
      <protection locked="0"/>
    </xf>
    <xf numFmtId="0" fontId="0" fillId="0" borderId="34" xfId="0" applyBorder="1" applyAlignment="1" applyProtection="1">
      <alignment/>
      <protection locked="0"/>
    </xf>
    <xf numFmtId="0" fontId="10" fillId="57" borderId="25" xfId="82" applyFont="1" applyFill="1" applyBorder="1">
      <alignment/>
      <protection/>
    </xf>
    <xf numFmtId="0" fontId="0" fillId="0" borderId="25" xfId="0" applyBorder="1" applyAlignment="1">
      <alignment/>
    </xf>
    <xf numFmtId="0" fontId="66" fillId="57" borderId="24" xfId="83" applyFill="1" applyBorder="1" applyProtection="1">
      <alignment/>
      <protection locked="0"/>
    </xf>
    <xf numFmtId="0" fontId="66" fillId="57" borderId="34" xfId="83" applyFill="1" applyBorder="1" applyProtection="1">
      <alignment/>
      <protection locked="0"/>
    </xf>
    <xf numFmtId="170" fontId="50" fillId="58" borderId="20" xfId="84" applyNumberFormat="1" applyFont="1" applyFill="1" applyBorder="1" applyAlignment="1" applyProtection="1">
      <alignment horizontal="left"/>
      <protection locked="0"/>
    </xf>
    <xf numFmtId="170" fontId="0" fillId="0" borderId="34" xfId="0" applyNumberFormat="1" applyBorder="1" applyAlignment="1" applyProtection="1">
      <alignment horizontal="left"/>
      <protection locked="0"/>
    </xf>
    <xf numFmtId="0" fontId="88" fillId="57" borderId="28" xfId="0" applyFont="1" applyFill="1" applyBorder="1" applyAlignment="1">
      <alignment/>
    </xf>
    <xf numFmtId="0" fontId="0" fillId="0" borderId="28" xfId="0" applyBorder="1" applyAlignment="1">
      <alignment/>
    </xf>
    <xf numFmtId="0" fontId="88" fillId="57" borderId="28" xfId="83" applyFont="1" applyFill="1" applyBorder="1">
      <alignment/>
      <protection/>
    </xf>
    <xf numFmtId="0" fontId="0" fillId="0" borderId="20" xfId="0" applyBorder="1" applyAlignment="1">
      <alignment/>
    </xf>
    <xf numFmtId="0" fontId="0" fillId="57" borderId="20" xfId="83" applyFont="1" applyFill="1" applyBorder="1" applyProtection="1">
      <alignment/>
      <protection hidden="1"/>
    </xf>
    <xf numFmtId="0" fontId="0" fillId="0" borderId="24" xfId="0" applyBorder="1" applyAlignment="1" applyProtection="1">
      <alignment/>
      <protection hidden="1"/>
    </xf>
    <xf numFmtId="0" fontId="0" fillId="0" borderId="34" xfId="0" applyBorder="1" applyAlignment="1" applyProtection="1">
      <alignment/>
      <protection hidden="1"/>
    </xf>
    <xf numFmtId="0" fontId="0" fillId="57" borderId="20" xfId="83" applyFont="1" applyFill="1" applyBorder="1" applyAlignment="1" applyProtection="1">
      <alignment horizontal="left"/>
      <protection hidden="1"/>
    </xf>
    <xf numFmtId="0" fontId="0" fillId="57" borderId="24" xfId="83" applyFont="1" applyFill="1" applyBorder="1" applyAlignment="1" applyProtection="1">
      <alignment horizontal="left"/>
      <protection hidden="1"/>
    </xf>
    <xf numFmtId="0" fontId="0" fillId="57" borderId="34" xfId="83" applyFont="1" applyFill="1" applyBorder="1" applyAlignment="1" applyProtection="1">
      <alignment horizontal="left"/>
      <protection hidden="1"/>
    </xf>
    <xf numFmtId="0" fontId="88" fillId="57" borderId="20" xfId="0" applyFont="1" applyFill="1" applyBorder="1" applyAlignment="1">
      <alignment/>
    </xf>
    <xf numFmtId="0" fontId="85" fillId="57" borderId="24" xfId="83" applyFont="1" applyFill="1" applyBorder="1">
      <alignment/>
      <protection/>
    </xf>
    <xf numFmtId="0" fontId="85" fillId="57" borderId="22" xfId="83" applyFont="1" applyFill="1" applyBorder="1">
      <alignment/>
      <protection/>
    </xf>
    <xf numFmtId="0" fontId="0" fillId="0" borderId="22" xfId="0" applyBorder="1" applyAlignment="1">
      <alignment/>
    </xf>
    <xf numFmtId="0" fontId="85" fillId="57" borderId="25" xfId="83" applyFont="1" applyFill="1" applyBorder="1">
      <alignment/>
      <protection/>
    </xf>
    <xf numFmtId="0" fontId="85" fillId="0" borderId="36" xfId="83" applyFont="1" applyBorder="1">
      <alignment/>
      <protection/>
    </xf>
    <xf numFmtId="0" fontId="0" fillId="0" borderId="36" xfId="0" applyBorder="1" applyAlignment="1">
      <alignment/>
    </xf>
    <xf numFmtId="0" fontId="85" fillId="0" borderId="25" xfId="83" applyFont="1" applyBorder="1">
      <alignment/>
      <protection/>
    </xf>
    <xf numFmtId="0" fontId="85" fillId="0" borderId="24" xfId="83" applyFont="1" applyBorder="1">
      <alignment/>
      <protection/>
    </xf>
    <xf numFmtId="0" fontId="85" fillId="0" borderId="32" xfId="83" applyFont="1" applyBorder="1">
      <alignment/>
      <protection/>
    </xf>
    <xf numFmtId="0" fontId="0" fillId="0" borderId="32" xfId="0" applyBorder="1" applyAlignment="1">
      <alignment/>
    </xf>
    <xf numFmtId="0" fontId="0" fillId="57" borderId="20" xfId="0" applyFill="1" applyBorder="1" applyAlignment="1" applyProtection="1">
      <alignment/>
      <protection hidden="1"/>
    </xf>
    <xf numFmtId="0" fontId="0" fillId="0" borderId="27" xfId="0" applyBorder="1" applyAlignment="1">
      <alignment/>
    </xf>
    <xf numFmtId="0" fontId="10" fillId="57" borderId="22" xfId="82" applyFont="1" applyFill="1" applyBorder="1">
      <alignment/>
      <protection/>
    </xf>
    <xf numFmtId="0" fontId="2" fillId="57" borderId="0" xfId="82" applyFont="1" applyFill="1" applyAlignment="1" applyProtection="1">
      <alignment horizontal="center"/>
      <protection hidden="1"/>
    </xf>
    <xf numFmtId="0" fontId="0" fillId="57" borderId="0" xfId="0" applyFill="1" applyAlignment="1" applyProtection="1">
      <alignment horizontal="center"/>
      <protection hidden="1"/>
    </xf>
    <xf numFmtId="0" fontId="0" fillId="57" borderId="20" xfId="83" applyFont="1" applyFill="1" applyBorder="1" applyAlignment="1">
      <alignment horizontal="left"/>
      <protection/>
    </xf>
    <xf numFmtId="0" fontId="0" fillId="57" borderId="24" xfId="83" applyFont="1" applyFill="1" applyBorder="1" applyAlignment="1">
      <alignment horizontal="left"/>
      <protection/>
    </xf>
    <xf numFmtId="0" fontId="0" fillId="57" borderId="35" xfId="83" applyFont="1" applyFill="1" applyBorder="1" applyAlignment="1">
      <alignment horizontal="left"/>
      <protection/>
    </xf>
    <xf numFmtId="0" fontId="0" fillId="57" borderId="44" xfId="83" applyFont="1" applyFill="1" applyBorder="1" applyAlignment="1">
      <alignment horizontal="left"/>
      <protection/>
    </xf>
    <xf numFmtId="0" fontId="85" fillId="57" borderId="32" xfId="83" applyFont="1" applyFill="1" applyBorder="1">
      <alignment/>
      <protection/>
    </xf>
    <xf numFmtId="0" fontId="10" fillId="57" borderId="29" xfId="82" applyFont="1" applyFill="1" applyBorder="1">
      <alignment/>
      <protection/>
    </xf>
    <xf numFmtId="0" fontId="0" fillId="57" borderId="0" xfId="0" applyFill="1" applyAlignment="1" applyProtection="1">
      <alignment horizontal="left"/>
      <protection hidden="1"/>
    </xf>
    <xf numFmtId="0" fontId="0" fillId="0" borderId="0" xfId="0" applyAlignment="1" applyProtection="1">
      <alignment/>
      <protection hidden="1"/>
    </xf>
  </cellXfs>
  <cellStyles count="95">
    <cellStyle name="Normal" xfId="0"/>
    <cellStyle name="20 % - Dekorfärg1" xfId="15"/>
    <cellStyle name="20 % - Dekorfärg2" xfId="16"/>
    <cellStyle name="20 % - Dekorfärg3" xfId="17"/>
    <cellStyle name="20 % - Dekorfärg4" xfId="18"/>
    <cellStyle name="20 % - Dekorfärg5" xfId="19"/>
    <cellStyle name="20 % - Dekorfärg6" xfId="20"/>
    <cellStyle name="20% - Dekorfärg1 2" xfId="21"/>
    <cellStyle name="20% - Dekorfärg2 2" xfId="22"/>
    <cellStyle name="20% - Dekorfärg3 2" xfId="23"/>
    <cellStyle name="20% - Dekorfärg4 2" xfId="24"/>
    <cellStyle name="20% - Dekorfärg5 2" xfId="25"/>
    <cellStyle name="20% - Dekorfärg6 2" xfId="26"/>
    <cellStyle name="40 % - Dekorfärg1" xfId="27"/>
    <cellStyle name="40 % - Dekorfärg2" xfId="28"/>
    <cellStyle name="40 % - Dekorfärg3" xfId="29"/>
    <cellStyle name="40 % - Dekorfärg4" xfId="30"/>
    <cellStyle name="40 % - Dekorfärg5" xfId="31"/>
    <cellStyle name="40 % - Dekorfärg6" xfId="32"/>
    <cellStyle name="40% - Dekorfärg1 2" xfId="33"/>
    <cellStyle name="40% - Dekorfärg2 2" xfId="34"/>
    <cellStyle name="40% - Dekorfärg3 2" xfId="35"/>
    <cellStyle name="40% - Dekorfärg4 2" xfId="36"/>
    <cellStyle name="40% - Dekorfärg5 2" xfId="37"/>
    <cellStyle name="40% - Dekorfärg6 2" xfId="38"/>
    <cellStyle name="60 % - Dekorfärg1" xfId="39"/>
    <cellStyle name="60 % - Dekorfärg2" xfId="40"/>
    <cellStyle name="60 % - Dekorfärg3" xfId="41"/>
    <cellStyle name="60 % - Dekorfärg4" xfId="42"/>
    <cellStyle name="60 % - Dekorfärg5" xfId="43"/>
    <cellStyle name="60 % - Dekorfärg6" xfId="44"/>
    <cellStyle name="60% - Dekorfärg1 2" xfId="45"/>
    <cellStyle name="60% - Dekorfärg2 2" xfId="46"/>
    <cellStyle name="60% - Dekorfärg3 2" xfId="47"/>
    <cellStyle name="60% - Dekorfärg4 2" xfId="48"/>
    <cellStyle name="60% - Dekorfärg5 2" xfId="49"/>
    <cellStyle name="60% - Dekorfärg6 2" xfId="50"/>
    <cellStyle name="Anteckning" xfId="51"/>
    <cellStyle name="Anteckning 2" xfId="52"/>
    <cellStyle name="Beräkning" xfId="53"/>
    <cellStyle name="Beräkning 2" xfId="54"/>
    <cellStyle name="Bra" xfId="55"/>
    <cellStyle name="Bra 2" xfId="56"/>
    <cellStyle name="Dekorfärg1" xfId="57"/>
    <cellStyle name="Dekorfärg2" xfId="58"/>
    <cellStyle name="Dekorfärg3" xfId="59"/>
    <cellStyle name="Dekorfärg4" xfId="60"/>
    <cellStyle name="Dekorfärg5" xfId="61"/>
    <cellStyle name="Dekorfärg6" xfId="62"/>
    <cellStyle name="Dålig" xfId="63"/>
    <cellStyle name="Dålig 2" xfId="64"/>
    <cellStyle name="Färg1 2" xfId="65"/>
    <cellStyle name="Färg2 2" xfId="66"/>
    <cellStyle name="Färg3 2" xfId="67"/>
    <cellStyle name="Färg4 2" xfId="68"/>
    <cellStyle name="Färg5 2" xfId="69"/>
    <cellStyle name="Färg6 2" xfId="70"/>
    <cellStyle name="Förklarande text" xfId="71"/>
    <cellStyle name="Förklarande text 2" xfId="72"/>
    <cellStyle name="Indata" xfId="73"/>
    <cellStyle name="Indata 2" xfId="74"/>
    <cellStyle name="Kontrollcell" xfId="75"/>
    <cellStyle name="Kontrollcell 2" xfId="76"/>
    <cellStyle name="Länkad cell" xfId="77"/>
    <cellStyle name="Länkad cell 2" xfId="78"/>
    <cellStyle name="Neutral" xfId="79"/>
    <cellStyle name="Neutral 2" xfId="80"/>
    <cellStyle name="Normal 2" xfId="81"/>
    <cellStyle name="Normal 3" xfId="82"/>
    <cellStyle name="Normal 4" xfId="83"/>
    <cellStyle name="Percent" xfId="84"/>
    <cellStyle name="Procent 2" xfId="85"/>
    <cellStyle name="Procent 3" xfId="86"/>
    <cellStyle name="Procent 4" xfId="87"/>
    <cellStyle name="Rubrik" xfId="88"/>
    <cellStyle name="Rubrik 1" xfId="89"/>
    <cellStyle name="Rubrik 1 2" xfId="90"/>
    <cellStyle name="Rubrik 2" xfId="91"/>
    <cellStyle name="Rubrik 2 2" xfId="92"/>
    <cellStyle name="Rubrik 3" xfId="93"/>
    <cellStyle name="Rubrik 3 2" xfId="94"/>
    <cellStyle name="Rubrik 4" xfId="95"/>
    <cellStyle name="Rubrik 4 2" xfId="96"/>
    <cellStyle name="Rubrik 5" xfId="97"/>
    <cellStyle name="Summa" xfId="98"/>
    <cellStyle name="Summa 2" xfId="99"/>
    <cellStyle name="Comma" xfId="100"/>
    <cellStyle name="Comma [0]" xfId="101"/>
    <cellStyle name="Tusental 2" xfId="102"/>
    <cellStyle name="Utdata" xfId="103"/>
    <cellStyle name="Utdata 2" xfId="104"/>
    <cellStyle name="Currency" xfId="105"/>
    <cellStyle name="Currency [0]" xfId="106"/>
    <cellStyle name="Varningstext" xfId="107"/>
    <cellStyle name="Varningstext 2" xfId="108"/>
  </cellStyles>
  <dxfs count="80">
    <dxf>
      <font>
        <color auto="1"/>
      </font>
      <fill>
        <patternFill>
          <bgColor theme="0"/>
        </patternFill>
      </fill>
    </dxf>
    <dxf>
      <font>
        <color auto="1"/>
      </font>
      <fill>
        <patternFill>
          <bgColor theme="0"/>
        </patternFill>
      </fill>
    </dxf>
    <dxf>
      <font>
        <color auto="1"/>
      </font>
      <fill>
        <patternFill>
          <bgColor theme="0"/>
        </patternFill>
      </fill>
    </dxf>
    <dxf>
      <font>
        <b/>
        <i val="0"/>
        <color theme="1"/>
      </font>
      <fill>
        <patternFill>
          <bgColor rgb="FFFFC061"/>
        </patternFill>
      </fill>
    </dxf>
    <dxf>
      <font>
        <b/>
        <i val="0"/>
        <color theme="0"/>
      </font>
      <fill>
        <patternFill>
          <bgColor rgb="FFFF9900"/>
        </patternFill>
      </fill>
    </dxf>
    <dxf>
      <font>
        <b/>
        <i val="0"/>
        <color theme="1"/>
      </font>
      <fill>
        <patternFill>
          <bgColor rgb="FFFFC061"/>
        </patternFill>
      </fill>
    </dxf>
    <dxf>
      <font>
        <b/>
        <i val="0"/>
        <color theme="1"/>
      </font>
      <fill>
        <patternFill>
          <bgColor rgb="FFFFC061"/>
        </patternFill>
      </fill>
    </dxf>
    <dxf>
      <font>
        <b/>
        <i val="0"/>
        <color theme="0"/>
      </font>
      <fill>
        <patternFill>
          <bgColor rgb="FFFF9900"/>
        </patternFill>
      </fill>
    </dxf>
    <dxf>
      <font>
        <b/>
        <i val="0"/>
        <color theme="1"/>
      </font>
      <fill>
        <patternFill>
          <bgColor rgb="FFFFC061"/>
        </patternFill>
      </fill>
    </dxf>
    <dxf>
      <font>
        <b/>
        <i val="0"/>
        <color theme="1"/>
      </font>
      <fill>
        <patternFill>
          <bgColor rgb="FFFFC061"/>
        </patternFill>
      </fill>
    </dxf>
    <dxf>
      <font>
        <b/>
        <i val="0"/>
        <color theme="0"/>
      </font>
      <fill>
        <patternFill>
          <bgColor rgb="FFFF9900"/>
        </patternFill>
      </fill>
    </dxf>
    <dxf>
      <font>
        <b/>
        <i val="0"/>
        <color theme="1"/>
      </font>
      <fill>
        <patternFill>
          <bgColor rgb="FFFFC061"/>
        </patternFill>
      </fill>
    </dxf>
    <dxf>
      <font>
        <b/>
        <i val="0"/>
        <color theme="1"/>
      </font>
      <fill>
        <patternFill>
          <bgColor rgb="FFFFC061"/>
        </patternFill>
      </fill>
    </dxf>
    <dxf>
      <font>
        <b/>
        <i val="0"/>
        <color theme="0"/>
      </font>
      <fill>
        <patternFill>
          <bgColor rgb="FFFF9900"/>
        </patternFill>
      </fill>
    </dxf>
    <dxf>
      <font>
        <b/>
        <i val="0"/>
        <color theme="1"/>
      </font>
      <fill>
        <patternFill>
          <bgColor rgb="FFFFC061"/>
        </patternFill>
      </fill>
    </dxf>
    <dxf>
      <font>
        <color theme="0"/>
      </font>
      <fill>
        <patternFill>
          <bgColor rgb="FF948A54"/>
        </patternFill>
      </fill>
    </dxf>
    <dxf>
      <font>
        <color theme="0"/>
      </font>
      <fill>
        <patternFill>
          <bgColor rgb="FF948A54"/>
        </patternFill>
      </fill>
    </dxf>
    <dxf>
      <font>
        <color theme="0"/>
      </font>
      <fill>
        <patternFill>
          <bgColor rgb="FF948A54"/>
        </patternFill>
      </fill>
    </dxf>
    <dxf>
      <font>
        <color theme="0"/>
      </font>
      <fill>
        <patternFill>
          <bgColor rgb="FF948A54"/>
        </patternFill>
      </fill>
    </dxf>
    <dxf>
      <font>
        <color theme="0"/>
      </font>
      <fill>
        <patternFill>
          <bgColor rgb="FF948A54"/>
        </patternFill>
      </fill>
    </dxf>
    <dxf>
      <font>
        <b/>
        <i val="0"/>
        <color theme="1"/>
      </font>
      <fill>
        <patternFill>
          <bgColor rgb="FFFFC061"/>
        </patternFill>
      </fill>
    </dxf>
    <dxf>
      <font>
        <b/>
        <i val="0"/>
        <color theme="0"/>
      </font>
      <fill>
        <patternFill>
          <bgColor rgb="FFFF9900"/>
        </patternFill>
      </fill>
    </dxf>
    <dxf>
      <font>
        <b/>
        <i val="0"/>
        <color theme="1"/>
      </font>
      <fill>
        <patternFill>
          <bgColor rgb="FFFFC061"/>
        </patternFill>
      </fill>
    </dxf>
    <dxf>
      <font>
        <color theme="1"/>
      </font>
      <fill>
        <patternFill>
          <bgColor rgb="FFFFC061"/>
        </patternFill>
      </fill>
    </dxf>
    <dxf>
      <font>
        <b/>
        <i val="0"/>
        <color theme="1"/>
      </font>
      <fill>
        <patternFill>
          <bgColor rgb="FFFFC06B"/>
        </patternFill>
      </fill>
    </dxf>
    <dxf>
      <font>
        <b/>
        <i val="0"/>
        <color theme="1"/>
      </font>
      <fill>
        <patternFill>
          <bgColor rgb="FFFFC06B"/>
        </patternFill>
      </fill>
    </dxf>
    <dxf>
      <font>
        <b/>
        <i val="0"/>
        <color theme="1"/>
      </font>
      <fill>
        <patternFill>
          <bgColor rgb="FFFFC06B"/>
        </patternFill>
      </fill>
    </dxf>
    <dxf>
      <font>
        <b/>
        <i val="0"/>
        <color theme="1"/>
      </font>
      <fill>
        <patternFill>
          <bgColor rgb="FFFFC06B"/>
        </patternFill>
      </fill>
    </dxf>
    <dxf>
      <font>
        <b/>
        <i val="0"/>
        <color theme="1"/>
      </font>
      <fill>
        <patternFill>
          <bgColor rgb="FFFFC06B"/>
        </patternFill>
      </fill>
    </dxf>
    <dxf>
      <font>
        <b/>
        <i val="0"/>
        <color theme="1"/>
      </font>
      <fill>
        <patternFill>
          <bgColor rgb="FFFFC06B"/>
        </patternFill>
      </fill>
    </dxf>
    <dxf>
      <font>
        <color auto="1"/>
      </font>
      <fill>
        <patternFill>
          <bgColor theme="0"/>
        </patternFill>
      </fill>
    </dxf>
    <dxf>
      <font>
        <color auto="1"/>
      </font>
      <fill>
        <patternFill>
          <bgColor theme="0"/>
        </patternFill>
      </fill>
    </dxf>
    <dxf>
      <font>
        <color auto="1"/>
      </font>
      <fill>
        <patternFill>
          <bgColor theme="0"/>
        </patternFill>
      </fill>
    </dxf>
    <dxf>
      <font>
        <b/>
        <i val="0"/>
        <color theme="1"/>
      </font>
      <fill>
        <patternFill>
          <bgColor rgb="FFFFC06B"/>
        </patternFill>
      </fill>
    </dxf>
    <dxf>
      <font>
        <b/>
        <i val="0"/>
        <color theme="1"/>
      </font>
      <fill>
        <patternFill>
          <bgColor rgb="FFFFC06B"/>
        </patternFill>
      </fill>
    </dxf>
    <dxf>
      <font>
        <b/>
        <i val="0"/>
        <color theme="1"/>
      </font>
      <fill>
        <patternFill>
          <bgColor rgb="FFFFC06B"/>
        </patternFill>
      </fill>
    </dxf>
    <dxf>
      <font>
        <color theme="1"/>
      </font>
      <fill>
        <patternFill>
          <bgColor rgb="FFFFC061"/>
        </patternFill>
      </fill>
    </dxf>
    <dxf>
      <font>
        <color theme="1"/>
      </font>
      <fill>
        <patternFill>
          <bgColor rgb="FFFFC061"/>
        </patternFill>
      </fill>
    </dxf>
    <dxf>
      <font>
        <color theme="1"/>
      </font>
      <fill>
        <patternFill>
          <bgColor rgb="FFFFC061"/>
        </patternFill>
      </fill>
    </dxf>
    <dxf>
      <font>
        <color theme="1"/>
      </font>
      <fill>
        <patternFill>
          <bgColor rgb="FFFFC061"/>
        </patternFill>
      </fill>
    </dxf>
    <dxf>
      <font>
        <b/>
        <i val="0"/>
      </font>
      <fill>
        <patternFill>
          <bgColor rgb="FFFF66FF"/>
        </patternFill>
      </fill>
      <border>
        <left style="thin">
          <color theme="1"/>
        </left>
        <right style="thin"/>
        <top style="thin">
          <color theme="1"/>
        </top>
        <bottom style="thin"/>
      </border>
    </dxf>
    <dxf>
      <font>
        <b/>
        <i val="0"/>
      </font>
      <fill>
        <patternFill>
          <bgColor rgb="FFFF66FF"/>
        </patternFill>
      </fill>
      <border>
        <left style="thin">
          <color theme="1"/>
        </left>
        <right style="thin"/>
        <top style="thin">
          <color theme="1"/>
        </top>
        <bottom style="thin"/>
      </border>
    </dxf>
    <dxf>
      <font>
        <b/>
        <i val="0"/>
      </font>
      <fill>
        <patternFill>
          <bgColor rgb="FFFF66FF"/>
        </patternFill>
      </fill>
      <border>
        <left style="thin">
          <color theme="1"/>
        </left>
        <right style="thin"/>
        <top style="thin">
          <color theme="1"/>
        </top>
        <bottom style="thin"/>
      </border>
    </dxf>
    <dxf>
      <font>
        <color theme="1"/>
      </font>
      <fill>
        <patternFill>
          <bgColor rgb="FFFFC061"/>
        </patternFill>
      </fill>
    </dxf>
    <dxf>
      <font>
        <b/>
        <i val="0"/>
      </font>
      <fill>
        <patternFill>
          <bgColor rgb="FFFF0000"/>
        </patternFill>
      </fill>
      <border>
        <left style="thin"/>
        <right style="thin"/>
        <top style="thin"/>
        <bottom style="thin"/>
      </border>
    </dxf>
    <dxf>
      <font>
        <b/>
        <i val="0"/>
      </font>
      <fill>
        <patternFill>
          <bgColor rgb="FFFF0000"/>
        </patternFill>
      </fill>
      <border>
        <left style="thin"/>
        <right style="thin"/>
        <top style="thin"/>
        <bottom style="thin"/>
      </border>
    </dxf>
    <dxf>
      <font>
        <b/>
        <i val="0"/>
      </font>
      <fill>
        <patternFill>
          <bgColor rgb="FFFF0000"/>
        </patternFill>
      </fill>
      <border>
        <left style="thin">
          <color theme="1"/>
        </left>
        <right style="thin"/>
        <top style="thin">
          <color theme="1"/>
        </top>
        <bottom style="thin"/>
      </border>
    </dxf>
    <dxf>
      <font>
        <color theme="1"/>
      </font>
      <fill>
        <patternFill>
          <bgColor rgb="FFFFC061"/>
        </patternFill>
      </fill>
    </dxf>
    <dxf>
      <font>
        <color theme="1"/>
      </font>
      <fill>
        <patternFill>
          <bgColor rgb="FFFFC061"/>
        </patternFill>
      </fill>
    </dxf>
    <dxf>
      <fill>
        <patternFill>
          <bgColor rgb="FFFF0000"/>
        </patternFill>
      </fill>
    </dxf>
    <dxf>
      <font>
        <color theme="1"/>
      </font>
      <fill>
        <patternFill>
          <bgColor rgb="FFFFC06B"/>
        </patternFill>
      </fill>
    </dxf>
    <dxf>
      <font>
        <color theme="1"/>
      </font>
      <fill>
        <patternFill>
          <bgColor rgb="FFFFC06B"/>
        </patternFill>
      </fill>
    </dxf>
    <dxf>
      <font>
        <color theme="1"/>
      </font>
      <fill>
        <patternFill>
          <bgColor rgb="FFFFC06B"/>
        </patternFill>
      </fill>
    </dxf>
    <dxf>
      <font>
        <color theme="1"/>
      </font>
      <fill>
        <patternFill>
          <bgColor rgb="FFFFC06B"/>
        </patternFill>
      </fill>
    </dxf>
    <dxf>
      <font>
        <color theme="1"/>
      </font>
      <fill>
        <patternFill>
          <bgColor rgb="FFFFC06B"/>
        </patternFill>
      </fill>
    </dxf>
    <dxf>
      <font>
        <color theme="1"/>
      </font>
      <fill>
        <patternFill>
          <fgColor theme="0"/>
          <bgColor theme="0"/>
        </patternFill>
      </fill>
    </dxf>
    <dxf>
      <font>
        <color auto="1"/>
      </font>
      <fill>
        <patternFill>
          <bgColor theme="0"/>
        </patternFill>
      </fill>
    </dxf>
    <dxf>
      <font>
        <color auto="1"/>
      </font>
      <fill>
        <patternFill>
          <bgColor theme="0"/>
        </patternFill>
      </fill>
    </dxf>
    <dxf>
      <font>
        <color auto="1"/>
      </font>
      <fill>
        <patternFill>
          <bgColor theme="0"/>
        </patternFill>
      </fill>
    </dxf>
    <dxf>
      <fill>
        <patternFill>
          <bgColor rgb="FFFF0000"/>
        </patternFill>
      </fill>
    </dxf>
    <dxf>
      <font>
        <color theme="1"/>
      </font>
      <fill>
        <patternFill>
          <bgColor rgb="FFFFC06B"/>
        </patternFill>
      </fill>
    </dxf>
    <dxf>
      <font>
        <color theme="1"/>
      </font>
      <fill>
        <patternFill>
          <bgColor rgb="FFFFC06B"/>
        </patternFill>
      </fill>
    </dxf>
    <dxf>
      <font>
        <color theme="1"/>
      </font>
      <fill>
        <patternFill>
          <bgColor rgb="FFFFC06B"/>
        </patternFill>
      </fill>
    </dxf>
    <dxf>
      <font>
        <color theme="1"/>
      </font>
      <fill>
        <patternFill>
          <bgColor rgb="FFFFC06B"/>
        </patternFill>
      </fill>
    </dxf>
    <dxf>
      <font>
        <color theme="1"/>
      </font>
      <fill>
        <patternFill>
          <bgColor rgb="FFFFC06B"/>
        </patternFill>
      </fill>
    </dxf>
    <dxf>
      <font>
        <color theme="1"/>
      </font>
      <fill>
        <patternFill>
          <bgColor rgb="FFFFC06B"/>
        </patternFill>
      </fill>
    </dxf>
    <dxf>
      <font>
        <color theme="1"/>
      </font>
      <fill>
        <patternFill>
          <bgColor rgb="FFFFC06B"/>
        </patternFill>
      </fill>
    </dxf>
    <dxf>
      <fill>
        <patternFill>
          <bgColor rgb="FFFF0000"/>
        </patternFill>
      </fill>
    </dxf>
    <dxf>
      <font>
        <color theme="1"/>
      </font>
      <fill>
        <patternFill>
          <bgColor rgb="FFFFC06B"/>
        </patternFill>
      </fill>
      <border/>
    </dxf>
    <dxf>
      <font>
        <color auto="1"/>
      </font>
      <fill>
        <patternFill>
          <bgColor theme="0"/>
        </patternFill>
      </fill>
      <border/>
    </dxf>
    <dxf>
      <font>
        <color auto="1"/>
      </font>
      <numFmt numFmtId="173" formatCode="hh:mm;@"/>
      <fill>
        <patternFill>
          <bgColor theme="0"/>
        </patternFill>
      </fill>
      <border/>
    </dxf>
    <dxf>
      <font>
        <color theme="1"/>
      </font>
      <fill>
        <patternFill>
          <fgColor theme="0"/>
          <bgColor theme="0"/>
        </patternFill>
      </fill>
      <border/>
    </dxf>
    <dxf>
      <font>
        <color theme="1"/>
      </font>
      <fill>
        <patternFill>
          <bgColor rgb="FFFFC061"/>
        </patternFill>
      </fill>
      <border/>
    </dxf>
    <dxf>
      <font>
        <b/>
        <i val="0"/>
      </font>
      <fill>
        <patternFill>
          <bgColor rgb="FFFF0000"/>
        </patternFill>
      </fill>
      <border>
        <left style="thin">
          <color theme="1"/>
        </left>
        <right style="thin">
          <color rgb="FF000000"/>
        </right>
        <top style="thin">
          <color theme="1"/>
        </top>
        <bottom style="thin">
          <color rgb="FF000000"/>
        </bottom>
      </border>
    </dxf>
    <dxf>
      <font>
        <b/>
        <i val="0"/>
      </font>
      <fill>
        <patternFill>
          <bgColor rgb="FFFF0000"/>
        </patternFill>
      </fill>
      <border>
        <left style="thin">
          <color rgb="FF000000"/>
        </left>
        <right style="thin">
          <color rgb="FF000000"/>
        </right>
        <top style="thin"/>
        <bottom style="thin">
          <color rgb="FF000000"/>
        </bottom>
      </border>
    </dxf>
    <dxf>
      <font>
        <b/>
        <i val="0"/>
      </font>
      <fill>
        <patternFill>
          <bgColor rgb="FFFF66FF"/>
        </patternFill>
      </fill>
      <border>
        <left style="thin">
          <color theme="1"/>
        </left>
        <right style="thin">
          <color rgb="FF000000"/>
        </right>
        <top style="thin">
          <color theme="1"/>
        </top>
        <bottom style="thin">
          <color rgb="FF000000"/>
        </bottom>
      </border>
    </dxf>
    <dxf>
      <font>
        <b/>
        <i val="0"/>
        <color theme="1"/>
      </font>
      <fill>
        <patternFill>
          <bgColor rgb="FFFFC06B"/>
        </patternFill>
      </fill>
      <border/>
    </dxf>
    <dxf>
      <font>
        <b/>
        <i val="0"/>
        <color theme="1"/>
      </font>
      <fill>
        <patternFill>
          <bgColor rgb="FFFFC061"/>
        </patternFill>
      </fill>
      <border/>
    </dxf>
    <dxf>
      <font>
        <b/>
        <i val="0"/>
        <color theme="0"/>
      </font>
      <fill>
        <patternFill>
          <bgColor rgb="FFFF9900"/>
        </patternFill>
      </fill>
      <border/>
    </dxf>
    <dxf>
      <font>
        <color theme="0"/>
      </font>
      <fill>
        <patternFill>
          <bgColor rgb="FF948A5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
          <c:y val="0.152"/>
          <c:w val="0.64025"/>
          <c:h val="0.82475"/>
        </c:manualLayout>
      </c:layout>
      <c:scatterChart>
        <c:scatterStyle val="lineMarker"/>
        <c:varyColors val="0"/>
        <c:ser>
          <c:idx val="1"/>
          <c:order val="0"/>
          <c:tx>
            <c:v>Mål</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Kod!$E$13:$F$13</c:f>
              <c:numCache>
                <c:ptCount val="2"/>
                <c:pt idx="0">
                  <c:v>2022.5</c:v>
                </c:pt>
                <c:pt idx="1">
                  <c:v>2026.5</c:v>
                </c:pt>
              </c:numCache>
            </c:numRef>
          </c:xVal>
          <c:yVal>
            <c:numRef>
              <c:f>Kod!$E$17:$F$17</c:f>
              <c:numCache>
                <c:ptCount val="2"/>
                <c:pt idx="0">
                  <c:v>6</c:v>
                </c:pt>
                <c:pt idx="1">
                  <c:v>6</c:v>
                </c:pt>
              </c:numCache>
            </c:numRef>
          </c:yVal>
          <c:smooth val="0"/>
        </c:ser>
        <c:ser>
          <c:idx val="3"/>
          <c:order val="1"/>
          <c:tx>
            <c:v>Prognos</c:v>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333399"/>
                </a:solidFill>
              </a:ln>
            </c:spPr>
          </c:marker>
          <c:xVal>
            <c:numRef>
              <c:f>'4 Avskjutning&amp;Prognos'!$E$11:$H$11</c:f>
              <c:numCache/>
            </c:numRef>
          </c:xVal>
          <c:yVal>
            <c:numRef>
              <c:f>'4 Avskjutning&amp;Prognos'!$E$28:$H$28</c:f>
              <c:numCache/>
            </c:numRef>
          </c:yVal>
          <c:smooth val="1"/>
        </c:ser>
        <c:ser>
          <c:idx val="0"/>
          <c:order val="2"/>
          <c:tx>
            <c:v>Uttag</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969696"/>
              </a:solidFill>
              <a:ln>
                <a:solidFill>
                  <a:srgbClr val="969696"/>
                </a:solidFill>
              </a:ln>
            </c:spPr>
          </c:marker>
          <c:errBars>
            <c:errDir val="y"/>
            <c:errBarType val="minus"/>
            <c:errValType val="cust"/>
            <c:minus>
              <c:numRef>
                <c:f>'4 Avskjutning&amp;Prognos'!$E$15:$H$15</c:f>
                <c:numCache>
                  <c:ptCount val="4"/>
                  <c:pt idx="0">
                    <c:v>3.1142435666284216</c:v>
                  </c:pt>
                  <c:pt idx="1">
                    <c:v>3</c:v>
                  </c:pt>
                  <c:pt idx="2">
                    <c:v>3</c:v>
                  </c:pt>
                  <c:pt idx="3">
                    <c:v>3</c:v>
                  </c:pt>
                </c:numCache>
              </c:numRef>
            </c:minus>
            <c:noEndCap val="1"/>
            <c:spPr>
              <a:ln w="25400">
                <a:solidFill>
                  <a:srgbClr val="969696"/>
                </a:solidFill>
              </a:ln>
            </c:spPr>
          </c:errBars>
          <c:xVal>
            <c:numRef>
              <c:f>'4 Avskjutning&amp;Prognos'!$E$11:$H$11</c:f>
              <c:numCache/>
            </c:numRef>
          </c:xVal>
          <c:yVal>
            <c:numRef>
              <c:f>'4 Avskjutning&amp;Prognos'!$E$15:$H$15</c:f>
              <c:numCache/>
            </c:numRef>
          </c:yVal>
          <c:smooth val="0"/>
        </c:ser>
        <c:axId val="2330243"/>
        <c:axId val="20972188"/>
      </c:scatterChart>
      <c:valAx>
        <c:axId val="2330243"/>
        <c:scaling>
          <c:orientation val="minMax"/>
        </c:scaling>
        <c:axPos val="b"/>
        <c:majorGridlines>
          <c:spPr>
            <a:ln w="3175">
              <a:solidFill>
                <a:srgbClr val="C0C0C0"/>
              </a:solidFill>
            </a:ln>
          </c:spPr>
        </c:majorGridlines>
        <c:delete val="0"/>
        <c:numFmt formatCode="General" sourceLinked="1"/>
        <c:majorTickMark val="out"/>
        <c:minorTickMark val="none"/>
        <c:tickLblPos val="low"/>
        <c:spPr>
          <a:ln w="12700">
            <a:solidFill>
              <a:srgbClr val="000000"/>
            </a:solidFill>
          </a:ln>
        </c:spPr>
        <c:crossAx val="20972188"/>
        <c:crossesAt val="0"/>
        <c:crossBetween val="midCat"/>
        <c:dispUnits/>
        <c:majorUnit val="1"/>
        <c:minorUnit val="1"/>
      </c:valAx>
      <c:valAx>
        <c:axId val="20972188"/>
        <c:scaling>
          <c:orientation val="minMax"/>
          <c:min val="0"/>
        </c:scaling>
        <c:axPos val="l"/>
        <c:title>
          <c:tx>
            <c:rich>
              <a:bodyPr vert="horz" rot="0" anchor="ctr"/>
              <a:lstStyle/>
              <a:p>
                <a:pPr algn="ctr">
                  <a:defRPr/>
                </a:pPr>
                <a:r>
                  <a:rPr lang="en-US" cap="none" sz="1000" b="0" i="0" u="none" baseline="0">
                    <a:solidFill>
                      <a:srgbClr val="000000"/>
                    </a:solidFill>
                    <a:latin typeface="Arial"/>
                    <a:ea typeface="Arial"/>
                    <a:cs typeface="Arial"/>
                  </a:rPr>
                  <a:t>Älgar per 1000 ha</a:t>
                </a:r>
              </a:p>
            </c:rich>
          </c:tx>
          <c:layout>
            <c:manualLayout>
              <c:xMode val="factor"/>
              <c:yMode val="factor"/>
              <c:x val="0.0905"/>
              <c:y val="0.170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low"/>
        <c:spPr>
          <a:ln w="12700">
            <a:solidFill>
              <a:srgbClr val="000000"/>
            </a:solidFill>
          </a:ln>
        </c:spPr>
        <c:crossAx val="2330243"/>
        <c:crosses val="autoZero"/>
        <c:crossBetween val="midCat"/>
        <c:dispUnits/>
      </c:valAx>
      <c:spPr>
        <a:solidFill>
          <a:srgbClr val="F2F2F2"/>
        </a:solidFill>
        <a:ln w="12700">
          <a:solidFill>
            <a:srgbClr val="000000"/>
          </a:solidFill>
        </a:ln>
      </c:spPr>
    </c:plotArea>
    <c:legend>
      <c:legendPos val="r"/>
      <c:layout>
        <c:manualLayout>
          <c:xMode val="edge"/>
          <c:yMode val="edge"/>
          <c:x val="0.72475"/>
          <c:y val="0.17725"/>
          <c:w val="0.258"/>
          <c:h val="0.28275"/>
        </c:manualLayout>
      </c:layout>
      <c:overlay val="0"/>
      <c:spPr>
        <a:no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135"/>
          <c:w val="0.70075"/>
          <c:h val="0.82675"/>
        </c:manualLayout>
      </c:layout>
      <c:scatterChart>
        <c:scatterStyle val="lineMarker"/>
        <c:varyColors val="0"/>
        <c:ser>
          <c:idx val="1"/>
          <c:order val="0"/>
          <c:tx>
            <c:v>Mål</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Kod!$E$13:$F$13</c:f>
              <c:numCache>
                <c:ptCount val="2"/>
                <c:pt idx="0">
                  <c:v>2022.5</c:v>
                </c:pt>
                <c:pt idx="1">
                  <c:v>2026.5</c:v>
                </c:pt>
              </c:numCache>
            </c:numRef>
          </c:xVal>
          <c:yVal>
            <c:numRef>
              <c:f>Kod!$E$18:$F$18</c:f>
              <c:numCache>
                <c:ptCount val="2"/>
                <c:pt idx="0">
                  <c:v>0.41</c:v>
                </c:pt>
                <c:pt idx="1">
                  <c:v>0.41</c:v>
                </c:pt>
              </c:numCache>
            </c:numRef>
          </c:yVal>
          <c:smooth val="0"/>
        </c:ser>
        <c:ser>
          <c:idx val="3"/>
          <c:order val="1"/>
          <c:tx>
            <c:v>Prognos</c:v>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333399"/>
                </a:solidFill>
              </a:ln>
            </c:spPr>
          </c:marker>
          <c:xVal>
            <c:numRef>
              <c:f>'4 Avskjutning&amp;Prognos'!$E$11:$H$11</c:f>
              <c:numCache/>
            </c:numRef>
          </c:xVal>
          <c:yVal>
            <c:numRef>
              <c:f>'4 Avskjutning&amp;Prognos'!$E$29:$H$29</c:f>
              <c:numCache/>
            </c:numRef>
          </c:yVal>
          <c:smooth val="1"/>
        </c:ser>
        <c:axId val="54531965"/>
        <c:axId val="21025638"/>
      </c:scatterChart>
      <c:valAx>
        <c:axId val="54531965"/>
        <c:scaling>
          <c:orientation val="minMax"/>
        </c:scaling>
        <c:axPos val="b"/>
        <c:majorGridlines>
          <c:spPr>
            <a:ln w="3175">
              <a:solidFill>
                <a:srgbClr val="C0C0C0"/>
              </a:solidFill>
            </a:ln>
          </c:spPr>
        </c:majorGridlines>
        <c:delete val="0"/>
        <c:numFmt formatCode="General" sourceLinked="1"/>
        <c:majorTickMark val="out"/>
        <c:minorTickMark val="none"/>
        <c:tickLblPos val="low"/>
        <c:spPr>
          <a:ln w="12700">
            <a:solidFill>
              <a:srgbClr val="000000"/>
            </a:solidFill>
          </a:ln>
        </c:spPr>
        <c:crossAx val="21025638"/>
        <c:crossesAt val="0"/>
        <c:crossBetween val="midCat"/>
        <c:dispUnits/>
        <c:majorUnit val="1"/>
        <c:minorUnit val="1"/>
      </c:valAx>
      <c:valAx>
        <c:axId val="21025638"/>
        <c:scaling>
          <c:orientation val="minMax"/>
          <c:min val="0"/>
        </c:scaling>
        <c:axPos val="l"/>
        <c:title>
          <c:tx>
            <c:rich>
              <a:bodyPr vert="horz" rot="0" anchor="ctr"/>
              <a:lstStyle/>
              <a:p>
                <a:pPr algn="ctr">
                  <a:defRPr/>
                </a:pPr>
                <a:r>
                  <a:rPr lang="en-US" cap="none" sz="1000" b="0" i="0" u="none" baseline="0">
                    <a:solidFill>
                      <a:srgbClr val="000000"/>
                    </a:solidFill>
                    <a:latin typeface="Arial"/>
                    <a:ea typeface="Arial"/>
                    <a:cs typeface="Arial"/>
                  </a:rPr>
                  <a:t>Andel tjur av vuxna</a:t>
                </a:r>
              </a:p>
            </c:rich>
          </c:tx>
          <c:layout>
            <c:manualLayout>
              <c:xMode val="factor"/>
              <c:yMode val="factor"/>
              <c:x val="0.082"/>
              <c:y val="0.165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low"/>
        <c:spPr>
          <a:ln w="12700">
            <a:solidFill>
              <a:srgbClr val="000000"/>
            </a:solidFill>
          </a:ln>
        </c:spPr>
        <c:crossAx val="54531965"/>
        <c:crosses val="autoZero"/>
        <c:crossBetween val="midCat"/>
        <c:dispUnits/>
      </c:valAx>
      <c:spPr>
        <a:solidFill>
          <a:srgbClr val="F2F2F2"/>
        </a:solidFill>
        <a:ln w="12700">
          <a:solidFill>
            <a:srgbClr val="000000"/>
          </a:solidFill>
        </a:ln>
      </c:spPr>
    </c:plotArea>
    <c:legend>
      <c:legendPos val="r"/>
      <c:layout>
        <c:manualLayout>
          <c:xMode val="edge"/>
          <c:yMode val="edge"/>
          <c:x val="0.721"/>
          <c:y val="0.178"/>
          <c:w val="0.25875"/>
          <c:h val="0.216"/>
        </c:manualLayout>
      </c:layout>
      <c:overlay val="0"/>
      <c:spPr>
        <a:no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25"/>
          <c:y val="0.13625"/>
          <c:w val="0.61675"/>
          <c:h val="0.81375"/>
        </c:manualLayout>
      </c:layout>
      <c:scatterChart>
        <c:scatterStyle val="lineMarker"/>
        <c:varyColors val="0"/>
        <c:ser>
          <c:idx val="1"/>
          <c:order val="0"/>
          <c:tx>
            <c:v>Kor</c:v>
          </c:tx>
          <c:spPr>
            <a:ln w="127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3366FF"/>
                </a:solidFill>
              </a:ln>
            </c:spPr>
          </c:marker>
          <c:xVal>
            <c:numRef>
              <c:f>'4 Avskjutning&amp;Prognos'!$E$11:$H$11</c:f>
              <c:numCache/>
            </c:numRef>
          </c:xVal>
          <c:yVal>
            <c:numRef>
              <c:f>'4 Avskjutning&amp;Prognos'!$E$32:$H$32</c:f>
              <c:numCache/>
            </c:numRef>
          </c:yVal>
          <c:smooth val="1"/>
        </c:ser>
        <c:ser>
          <c:idx val="3"/>
          <c:order val="1"/>
          <c:tx>
            <c:v>Tjurar</c:v>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3366"/>
                </a:solidFill>
              </a:ln>
            </c:spPr>
          </c:marker>
          <c:xVal>
            <c:numRef>
              <c:f>'4 Avskjutning&amp;Prognos'!$E$11:$H$11</c:f>
              <c:numCache/>
            </c:numRef>
          </c:xVal>
          <c:yVal>
            <c:numRef>
              <c:f>'4 Avskjutning&amp;Prognos'!$E$31:$H$31</c:f>
              <c:numCache/>
            </c:numRef>
          </c:yVal>
          <c:smooth val="1"/>
        </c:ser>
        <c:ser>
          <c:idx val="2"/>
          <c:order val="2"/>
          <c:tx>
            <c:v>Kalvar</c:v>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99CCFF"/>
                </a:solidFill>
              </a:ln>
            </c:spPr>
          </c:marker>
          <c:xVal>
            <c:numRef>
              <c:f>'4 Avskjutning&amp;Prognos'!$E$11:$H$11</c:f>
              <c:numCache/>
            </c:numRef>
          </c:xVal>
          <c:yVal>
            <c:numRef>
              <c:f>'4 Avskjutning&amp;Prognos'!$E$33:$H$33</c:f>
              <c:numCache/>
            </c:numRef>
          </c:yVal>
          <c:smooth val="1"/>
        </c:ser>
        <c:ser>
          <c:idx val="0"/>
          <c:order val="3"/>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Kod!$E$13:$F$13</c:f>
              <c:numCache>
                <c:ptCount val="2"/>
                <c:pt idx="0">
                  <c:v>2022.5</c:v>
                </c:pt>
                <c:pt idx="1">
                  <c:v>2026.5</c:v>
                </c:pt>
              </c:numCache>
            </c:numRef>
          </c:xVal>
          <c:yVal>
            <c:numRef>
              <c:f>Kod!$E$12:$F$12</c:f>
              <c:numCache>
                <c:ptCount val="2"/>
              </c:numCache>
            </c:numRef>
          </c:yVal>
          <c:smooth val="0"/>
        </c:ser>
        <c:axId val="55013015"/>
        <c:axId val="25355088"/>
      </c:scatterChart>
      <c:valAx>
        <c:axId val="55013015"/>
        <c:scaling>
          <c:orientation val="minMax"/>
        </c:scaling>
        <c:axPos val="b"/>
        <c:majorGridlines>
          <c:spPr>
            <a:ln w="3175">
              <a:solidFill>
                <a:srgbClr val="C0C0C0"/>
              </a:solidFill>
            </a:ln>
          </c:spPr>
        </c:majorGridlines>
        <c:delete val="0"/>
        <c:numFmt formatCode="General" sourceLinked="1"/>
        <c:majorTickMark val="out"/>
        <c:minorTickMark val="none"/>
        <c:tickLblPos val="low"/>
        <c:spPr>
          <a:ln w="12700">
            <a:solidFill>
              <a:srgbClr val="000000"/>
            </a:solidFill>
          </a:ln>
        </c:spPr>
        <c:crossAx val="25355088"/>
        <c:crossesAt val="0"/>
        <c:crossBetween val="midCat"/>
        <c:dispUnits/>
        <c:majorUnit val="1"/>
        <c:minorUnit val="1"/>
      </c:valAx>
      <c:valAx>
        <c:axId val="25355088"/>
        <c:scaling>
          <c:orientation val="minMax"/>
          <c:min val="0"/>
        </c:scaling>
        <c:axPos val="l"/>
        <c:title>
          <c:tx>
            <c:rich>
              <a:bodyPr vert="horz" rot="0" anchor="ctr"/>
              <a:lstStyle/>
              <a:p>
                <a:pPr algn="ctr">
                  <a:defRPr/>
                </a:pPr>
                <a:r>
                  <a:rPr lang="en-US" cap="none" sz="1000" b="0" i="0" u="none" baseline="0">
                    <a:solidFill>
                      <a:srgbClr val="000000"/>
                    </a:solidFill>
                    <a:latin typeface="Arial"/>
                    <a:ea typeface="Arial"/>
                    <a:cs typeface="Arial"/>
                  </a:rPr>
                  <a:t>Älgar i området</a:t>
                </a:r>
              </a:p>
            </c:rich>
          </c:tx>
          <c:layout>
            <c:manualLayout>
              <c:xMode val="factor"/>
              <c:yMode val="factor"/>
              <c:x val="0.066"/>
              <c:y val="0.169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low"/>
        <c:spPr>
          <a:ln w="12700">
            <a:solidFill>
              <a:srgbClr val="000000"/>
            </a:solidFill>
          </a:ln>
        </c:spPr>
        <c:crossAx val="55013015"/>
        <c:crossesAt val="2011"/>
        <c:crossBetween val="midCat"/>
        <c:dispUnits/>
      </c:valAx>
      <c:spPr>
        <a:solidFill>
          <a:srgbClr val="F2F2F2"/>
        </a:solidFill>
        <a:ln w="12700">
          <a:solidFill>
            <a:srgbClr val="000000"/>
          </a:solidFill>
        </a:ln>
      </c:spPr>
    </c:plotArea>
    <c:legend>
      <c:legendPos val="r"/>
      <c:legendEntry>
        <c:idx val="3"/>
        <c:delete val="1"/>
      </c:legendEntry>
      <c:layout>
        <c:manualLayout>
          <c:xMode val="edge"/>
          <c:yMode val="edge"/>
          <c:x val="0.71425"/>
          <c:y val="0.17075"/>
          <c:w val="0.21875"/>
          <c:h val="0.2025"/>
        </c:manualLayout>
      </c:layout>
      <c:overlay val="0"/>
      <c:spPr>
        <a:no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6.jpe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7.jpe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8.jpe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3.jpeg" /><Relationship Id="rId5" Type="http://schemas.openxmlformats.org/officeDocument/2006/relationships/image" Target="../media/image9.jpeg" /><Relationship Id="rId6"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9.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10</xdr:col>
      <xdr:colOff>0</xdr:colOff>
      <xdr:row>47</xdr:row>
      <xdr:rowOff>57150</xdr:rowOff>
    </xdr:to>
    <xdr:pic>
      <xdr:nvPicPr>
        <xdr:cNvPr id="1" name="Bildobjekt 14" descr="Älgar framför jakttorn2.jpg"/>
        <xdr:cNvPicPr preferRelativeResize="1">
          <a:picLocks noChangeAspect="1"/>
        </xdr:cNvPicPr>
      </xdr:nvPicPr>
      <xdr:blipFill>
        <a:blip r:embed="rId1"/>
        <a:stretch>
          <a:fillRect/>
        </a:stretch>
      </xdr:blipFill>
      <xdr:spPr>
        <a:xfrm>
          <a:off x="638175" y="0"/>
          <a:ext cx="5248275" cy="8115300"/>
        </a:xfrm>
        <a:prstGeom prst="rect">
          <a:avLst/>
        </a:prstGeom>
        <a:noFill/>
        <a:ln w="9525" cmpd="sng">
          <a:noFill/>
        </a:ln>
      </xdr:spPr>
    </xdr:pic>
    <xdr:clientData/>
  </xdr:twoCellAnchor>
  <xdr:twoCellAnchor editAs="oneCell">
    <xdr:from>
      <xdr:col>2</xdr:col>
      <xdr:colOff>238125</xdr:colOff>
      <xdr:row>43</xdr:row>
      <xdr:rowOff>19050</xdr:rowOff>
    </xdr:from>
    <xdr:to>
      <xdr:col>3</xdr:col>
      <xdr:colOff>466725</xdr:colOff>
      <xdr:row>46</xdr:row>
      <xdr:rowOff>38100</xdr:rowOff>
    </xdr:to>
    <xdr:pic>
      <xdr:nvPicPr>
        <xdr:cNvPr id="2" name="Bildobjekt 8" descr="Naturforvaltning_logo_inv_RGB_150dpi.jpg"/>
        <xdr:cNvPicPr preferRelativeResize="1">
          <a:picLocks noChangeAspect="1"/>
        </xdr:cNvPicPr>
      </xdr:nvPicPr>
      <xdr:blipFill>
        <a:blip r:embed="rId2"/>
        <a:stretch>
          <a:fillRect/>
        </a:stretch>
      </xdr:blipFill>
      <xdr:spPr>
        <a:xfrm>
          <a:off x="866775" y="7391400"/>
          <a:ext cx="885825" cy="533400"/>
        </a:xfrm>
        <a:prstGeom prst="rect">
          <a:avLst/>
        </a:prstGeom>
        <a:noFill/>
        <a:ln w="9525" cmpd="sng">
          <a:noFill/>
        </a:ln>
      </xdr:spPr>
    </xdr:pic>
    <xdr:clientData/>
  </xdr:twoCellAnchor>
  <xdr:twoCellAnchor>
    <xdr:from>
      <xdr:col>3</xdr:col>
      <xdr:colOff>161925</xdr:colOff>
      <xdr:row>0</xdr:row>
      <xdr:rowOff>161925</xdr:rowOff>
    </xdr:from>
    <xdr:to>
      <xdr:col>8</xdr:col>
      <xdr:colOff>200025</xdr:colOff>
      <xdr:row>9</xdr:row>
      <xdr:rowOff>114300</xdr:rowOff>
    </xdr:to>
    <xdr:sp>
      <xdr:nvSpPr>
        <xdr:cNvPr id="3" name="textruta 4"/>
        <xdr:cNvSpPr txBox="1">
          <a:spLocks noChangeArrowheads="1"/>
        </xdr:cNvSpPr>
      </xdr:nvSpPr>
      <xdr:spPr>
        <a:xfrm>
          <a:off x="1447800" y="161925"/>
          <a:ext cx="3324225" cy="1495425"/>
        </a:xfrm>
        <a:prstGeom prst="rect">
          <a:avLst/>
        </a:prstGeom>
        <a:noFill/>
        <a:ln w="9525" cmpd="sng">
          <a:noFill/>
        </a:ln>
      </xdr:spPr>
      <xdr:txBody>
        <a:bodyPr vertOverflow="clip" wrap="square"/>
        <a:p>
          <a:pPr algn="ctr">
            <a:defRPr/>
          </a:pPr>
          <a:r>
            <a:rPr lang="en-US" cap="none" sz="2600" b="1" i="0" u="none" baseline="0">
              <a:solidFill>
                <a:srgbClr val="FF9900"/>
              </a:solidFill>
              <a:latin typeface="Arial"/>
              <a:ea typeface="Arial"/>
              <a:cs typeface="Arial"/>
            </a:rPr>
            <a:t>Älgfrode</a:t>
          </a:r>
          <a:r>
            <a:rPr lang="en-US" cap="none" sz="2000" b="1" i="0" u="none" baseline="0">
              <a:solidFill>
                <a:srgbClr val="FF9900"/>
              </a:solidFill>
              <a:latin typeface="Arial"/>
              <a:ea typeface="Arial"/>
              <a:cs typeface="Arial"/>
            </a:rPr>
            <a:t> -
</a:t>
          </a:r>
          <a:r>
            <a:rPr lang="en-US" cap="none" sz="2000" b="1" i="0" u="none" baseline="0">
              <a:solidFill>
                <a:srgbClr val="FF9900"/>
              </a:solidFill>
              <a:latin typeface="Arial"/>
              <a:ea typeface="Arial"/>
              <a:cs typeface="Arial"/>
            </a:rPr>
            <a:t>en modell för att planera avskjutning av älg
</a:t>
          </a:r>
          <a:r>
            <a:rPr lang="en-US" cap="none" sz="1200" b="1" i="0" u="none" baseline="0">
              <a:solidFill>
                <a:srgbClr val="FF9900"/>
              </a:solidFill>
              <a:latin typeface="Arial"/>
              <a:ea typeface="Arial"/>
              <a:cs typeface="Arial"/>
            </a:rPr>
            <a:t>
</a:t>
          </a:r>
          <a:r>
            <a:rPr lang="en-US" cap="none" sz="1200" b="1" i="0" u="none" baseline="0">
              <a:solidFill>
                <a:srgbClr val="000000"/>
              </a:solidFill>
              <a:latin typeface="Arial"/>
              <a:ea typeface="Arial"/>
              <a:cs typeface="Arial"/>
            </a:rPr>
            <a:t>Version 3.5</a:t>
          </a:r>
        </a:p>
      </xdr:txBody>
    </xdr:sp>
    <xdr:clientData/>
  </xdr:twoCellAnchor>
  <xdr:twoCellAnchor>
    <xdr:from>
      <xdr:col>5</xdr:col>
      <xdr:colOff>571500</xdr:colOff>
      <xdr:row>15</xdr:row>
      <xdr:rowOff>19050</xdr:rowOff>
    </xdr:from>
    <xdr:to>
      <xdr:col>9</xdr:col>
      <xdr:colOff>57150</xdr:colOff>
      <xdr:row>23</xdr:row>
      <xdr:rowOff>85725</xdr:rowOff>
    </xdr:to>
    <xdr:sp>
      <xdr:nvSpPr>
        <xdr:cNvPr id="4" name="textruta 5"/>
        <xdr:cNvSpPr txBox="1">
          <a:spLocks noChangeArrowheads="1"/>
        </xdr:cNvSpPr>
      </xdr:nvSpPr>
      <xdr:spPr>
        <a:xfrm>
          <a:off x="3171825" y="2590800"/>
          <a:ext cx="2114550" cy="1438275"/>
        </a:xfrm>
        <a:prstGeom prst="rect">
          <a:avLst/>
        </a:prstGeom>
        <a:noFill/>
        <a:ln w="9525" cmpd="sng">
          <a:noFill/>
        </a:ln>
      </xdr:spPr>
      <xdr:txBody>
        <a:bodyPr vertOverflow="clip" wrap="square"/>
        <a:p>
          <a:pPr algn="l">
            <a:defRPr/>
          </a:pPr>
          <a:r>
            <a:rPr lang="en-US" cap="none" sz="1600" b="1" i="0" u="none" baseline="0">
              <a:solidFill>
                <a:srgbClr val="000000"/>
              </a:solidFill>
              <a:latin typeface="Arial"/>
              <a:ea typeface="Arial"/>
              <a:cs typeface="Arial"/>
            </a:rPr>
            <a:t>Hur blir älgstammen om man skjuter ett visst antal kor, kalvar och tjurar?</a:t>
          </a:r>
        </a:p>
      </xdr:txBody>
    </xdr:sp>
    <xdr:clientData/>
  </xdr:twoCellAnchor>
  <xdr:twoCellAnchor editAs="oneCell">
    <xdr:from>
      <xdr:col>0</xdr:col>
      <xdr:colOff>76200</xdr:colOff>
      <xdr:row>0</xdr:row>
      <xdr:rowOff>66675</xdr:rowOff>
    </xdr:from>
    <xdr:to>
      <xdr:col>0</xdr:col>
      <xdr:colOff>371475</xdr:colOff>
      <xdr:row>3</xdr:row>
      <xdr:rowOff>66675</xdr:rowOff>
    </xdr:to>
    <xdr:pic>
      <xdr:nvPicPr>
        <xdr:cNvPr id="5" name="Bildobjekt 7" descr="Naturforvaltning_symbol_RGB_150dpi.jpg"/>
        <xdr:cNvPicPr preferRelativeResize="1">
          <a:picLocks noChangeAspect="1"/>
        </xdr:cNvPicPr>
      </xdr:nvPicPr>
      <xdr:blipFill>
        <a:blip r:embed="rId3"/>
        <a:stretch>
          <a:fillRect/>
        </a:stretch>
      </xdr:blipFill>
      <xdr:spPr>
        <a:xfrm>
          <a:off x="76200" y="66675"/>
          <a:ext cx="295275" cy="514350"/>
        </a:xfrm>
        <a:prstGeom prst="rect">
          <a:avLst/>
        </a:prstGeom>
        <a:noFill/>
        <a:ln w="9525" cmpd="sng">
          <a:noFill/>
        </a:ln>
      </xdr:spPr>
    </xdr:pic>
    <xdr:clientData/>
  </xdr:twoCellAnchor>
  <xdr:twoCellAnchor editAs="oneCell">
    <xdr:from>
      <xdr:col>6</xdr:col>
      <xdr:colOff>276225</xdr:colOff>
      <xdr:row>43</xdr:row>
      <xdr:rowOff>95250</xdr:rowOff>
    </xdr:from>
    <xdr:to>
      <xdr:col>9</xdr:col>
      <xdr:colOff>390525</xdr:colOff>
      <xdr:row>45</xdr:row>
      <xdr:rowOff>123825</xdr:rowOff>
    </xdr:to>
    <xdr:pic>
      <xdr:nvPicPr>
        <xdr:cNvPr id="6" name="Bildobjekt 1"/>
        <xdr:cNvPicPr preferRelativeResize="1">
          <a:picLocks noChangeAspect="1"/>
        </xdr:cNvPicPr>
      </xdr:nvPicPr>
      <xdr:blipFill>
        <a:blip r:embed="rId4"/>
        <a:stretch>
          <a:fillRect/>
        </a:stretch>
      </xdr:blipFill>
      <xdr:spPr>
        <a:xfrm>
          <a:off x="3533775" y="7467600"/>
          <a:ext cx="2085975" cy="371475"/>
        </a:xfrm>
        <a:prstGeom prst="rect">
          <a:avLst/>
        </a:prstGeom>
        <a:noFill/>
        <a:ln w="9525" cmpd="sng">
          <a:noFill/>
        </a:ln>
      </xdr:spPr>
    </xdr:pic>
    <xdr:clientData/>
  </xdr:twoCellAnchor>
  <xdr:twoCellAnchor editAs="oneCell">
    <xdr:from>
      <xdr:col>4</xdr:col>
      <xdr:colOff>190500</xdr:colOff>
      <xdr:row>43</xdr:row>
      <xdr:rowOff>28575</xdr:rowOff>
    </xdr:from>
    <xdr:to>
      <xdr:col>5</xdr:col>
      <xdr:colOff>609600</xdr:colOff>
      <xdr:row>46</xdr:row>
      <xdr:rowOff>28575</xdr:rowOff>
    </xdr:to>
    <xdr:pic>
      <xdr:nvPicPr>
        <xdr:cNvPr id="7" name="Bildobjekt 18"/>
        <xdr:cNvPicPr preferRelativeResize="1">
          <a:picLocks noChangeAspect="1"/>
        </xdr:cNvPicPr>
      </xdr:nvPicPr>
      <xdr:blipFill>
        <a:blip r:embed="rId5"/>
        <a:stretch>
          <a:fillRect/>
        </a:stretch>
      </xdr:blipFill>
      <xdr:spPr>
        <a:xfrm>
          <a:off x="2133600" y="7400925"/>
          <a:ext cx="107632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76200</xdr:rowOff>
    </xdr:from>
    <xdr:to>
      <xdr:col>0</xdr:col>
      <xdr:colOff>409575</xdr:colOff>
      <xdr:row>2</xdr:row>
      <xdr:rowOff>114300</xdr:rowOff>
    </xdr:to>
    <xdr:pic>
      <xdr:nvPicPr>
        <xdr:cNvPr id="1" name="Bildobjekt 7" descr="Naturforvaltning_symbol_RGB_150dpi.jpg"/>
        <xdr:cNvPicPr preferRelativeResize="1">
          <a:picLocks noChangeAspect="1"/>
        </xdr:cNvPicPr>
      </xdr:nvPicPr>
      <xdr:blipFill>
        <a:blip r:embed="rId1"/>
        <a:stretch>
          <a:fillRect/>
        </a:stretch>
      </xdr:blipFill>
      <xdr:spPr>
        <a:xfrm>
          <a:off x="114300" y="76200"/>
          <a:ext cx="295275" cy="514350"/>
        </a:xfrm>
        <a:prstGeom prst="rect">
          <a:avLst/>
        </a:prstGeom>
        <a:noFill/>
        <a:ln w="9525" cmpd="sng">
          <a:noFill/>
        </a:ln>
      </xdr:spPr>
    </xdr:pic>
    <xdr:clientData/>
  </xdr:twoCellAnchor>
  <xdr:twoCellAnchor editAs="oneCell">
    <xdr:from>
      <xdr:col>3</xdr:col>
      <xdr:colOff>228600</xdr:colOff>
      <xdr:row>44</xdr:row>
      <xdr:rowOff>104775</xdr:rowOff>
    </xdr:from>
    <xdr:to>
      <xdr:col>5</xdr:col>
      <xdr:colOff>114300</xdr:colOff>
      <xdr:row>47</xdr:row>
      <xdr:rowOff>123825</xdr:rowOff>
    </xdr:to>
    <xdr:pic>
      <xdr:nvPicPr>
        <xdr:cNvPr id="2" name="Bildobjekt 8" descr="Naturforvaltning_logo_RGB_150dpi.jpg"/>
        <xdr:cNvPicPr preferRelativeResize="1">
          <a:picLocks noChangeAspect="1"/>
        </xdr:cNvPicPr>
      </xdr:nvPicPr>
      <xdr:blipFill>
        <a:blip r:embed="rId2"/>
        <a:stretch>
          <a:fillRect/>
        </a:stretch>
      </xdr:blipFill>
      <xdr:spPr>
        <a:xfrm>
          <a:off x="1209675" y="8191500"/>
          <a:ext cx="1047750" cy="561975"/>
        </a:xfrm>
        <a:prstGeom prst="rect">
          <a:avLst/>
        </a:prstGeom>
        <a:noFill/>
        <a:ln w="9525" cmpd="sng">
          <a:noFill/>
        </a:ln>
      </xdr:spPr>
    </xdr:pic>
    <xdr:clientData/>
  </xdr:twoCellAnchor>
  <xdr:twoCellAnchor editAs="oneCell">
    <xdr:from>
      <xdr:col>8</xdr:col>
      <xdr:colOff>514350</xdr:colOff>
      <xdr:row>45</xdr:row>
      <xdr:rowOff>38100</xdr:rowOff>
    </xdr:from>
    <xdr:to>
      <xdr:col>12</xdr:col>
      <xdr:colOff>276225</xdr:colOff>
      <xdr:row>47</xdr:row>
      <xdr:rowOff>66675</xdr:rowOff>
    </xdr:to>
    <xdr:pic>
      <xdr:nvPicPr>
        <xdr:cNvPr id="3" name="Bildobjekt 1"/>
        <xdr:cNvPicPr preferRelativeResize="1">
          <a:picLocks noChangeAspect="1"/>
        </xdr:cNvPicPr>
      </xdr:nvPicPr>
      <xdr:blipFill>
        <a:blip r:embed="rId3"/>
        <a:stretch>
          <a:fillRect/>
        </a:stretch>
      </xdr:blipFill>
      <xdr:spPr>
        <a:xfrm>
          <a:off x="4400550" y="8305800"/>
          <a:ext cx="2085975" cy="390525"/>
        </a:xfrm>
        <a:prstGeom prst="rect">
          <a:avLst/>
        </a:prstGeom>
        <a:noFill/>
        <a:ln w="9525" cmpd="sng">
          <a:noFill/>
        </a:ln>
      </xdr:spPr>
    </xdr:pic>
    <xdr:clientData/>
  </xdr:twoCellAnchor>
  <xdr:twoCellAnchor>
    <xdr:from>
      <xdr:col>5</xdr:col>
      <xdr:colOff>447675</xdr:colOff>
      <xdr:row>44</xdr:row>
      <xdr:rowOff>104775</xdr:rowOff>
    </xdr:from>
    <xdr:to>
      <xdr:col>8</xdr:col>
      <xdr:colOff>85725</xdr:colOff>
      <xdr:row>47</xdr:row>
      <xdr:rowOff>114300</xdr:rowOff>
    </xdr:to>
    <xdr:sp>
      <xdr:nvSpPr>
        <xdr:cNvPr id="4" name="textruta 6"/>
        <xdr:cNvSpPr txBox="1">
          <a:spLocks noChangeArrowheads="1"/>
        </xdr:cNvSpPr>
      </xdr:nvSpPr>
      <xdr:spPr>
        <a:xfrm>
          <a:off x="2590800" y="8191500"/>
          <a:ext cx="1381125" cy="552450"/>
        </a:xfrm>
        <a:prstGeom prst="rect">
          <a:avLst/>
        </a:prstGeom>
        <a:noFill/>
        <a:ln w="9525" cmpd="sng">
          <a:noFill/>
        </a:ln>
      </xdr:spPr>
      <xdr:txBody>
        <a:bodyPr vertOverflow="clip" wrap="square"/>
        <a:p>
          <a:pPr algn="ctr">
            <a:defRPr/>
          </a:pPr>
          <a:r>
            <a:rPr lang="en-US" cap="none" sz="1400" b="1" i="0" u="none" baseline="0">
              <a:solidFill>
                <a:srgbClr val="000000"/>
              </a:solidFill>
            </a:rPr>
            <a:t>Skogsbrukets Viltgrupp</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0</xdr:col>
      <xdr:colOff>352425</xdr:colOff>
      <xdr:row>2</xdr:row>
      <xdr:rowOff>123825</xdr:rowOff>
    </xdr:to>
    <xdr:pic>
      <xdr:nvPicPr>
        <xdr:cNvPr id="1" name="Bildobjekt 7" descr="Naturforvaltning_symbol_RGB_150dpi.jpg"/>
        <xdr:cNvPicPr preferRelativeResize="1">
          <a:picLocks noChangeAspect="1"/>
        </xdr:cNvPicPr>
      </xdr:nvPicPr>
      <xdr:blipFill>
        <a:blip r:embed="rId1"/>
        <a:stretch>
          <a:fillRect/>
        </a:stretch>
      </xdr:blipFill>
      <xdr:spPr>
        <a:xfrm>
          <a:off x="57150" y="85725"/>
          <a:ext cx="295275" cy="514350"/>
        </a:xfrm>
        <a:prstGeom prst="rect">
          <a:avLst/>
        </a:prstGeom>
        <a:noFill/>
        <a:ln w="9525" cmpd="sng">
          <a:noFill/>
        </a:ln>
      </xdr:spPr>
    </xdr:pic>
    <xdr:clientData/>
  </xdr:twoCellAnchor>
  <xdr:twoCellAnchor editAs="oneCell">
    <xdr:from>
      <xdr:col>3</xdr:col>
      <xdr:colOff>152400</xdr:colOff>
      <xdr:row>56</xdr:row>
      <xdr:rowOff>152400</xdr:rowOff>
    </xdr:from>
    <xdr:to>
      <xdr:col>5</xdr:col>
      <xdr:colOff>38100</xdr:colOff>
      <xdr:row>60</xdr:row>
      <xdr:rowOff>0</xdr:rowOff>
    </xdr:to>
    <xdr:pic>
      <xdr:nvPicPr>
        <xdr:cNvPr id="2" name="Bildobjekt 8" descr="Naturforvaltning_logo_RGB_150dpi.jpg"/>
        <xdr:cNvPicPr preferRelativeResize="1">
          <a:picLocks noChangeAspect="1"/>
        </xdr:cNvPicPr>
      </xdr:nvPicPr>
      <xdr:blipFill>
        <a:blip r:embed="rId2"/>
        <a:stretch>
          <a:fillRect/>
        </a:stretch>
      </xdr:blipFill>
      <xdr:spPr>
        <a:xfrm>
          <a:off x="1133475" y="9182100"/>
          <a:ext cx="1047750" cy="571500"/>
        </a:xfrm>
        <a:prstGeom prst="rect">
          <a:avLst/>
        </a:prstGeom>
        <a:noFill/>
        <a:ln w="9525" cmpd="sng">
          <a:noFill/>
        </a:ln>
      </xdr:spPr>
    </xdr:pic>
    <xdr:clientData/>
  </xdr:twoCellAnchor>
  <xdr:twoCellAnchor editAs="oneCell">
    <xdr:from>
      <xdr:col>8</xdr:col>
      <xdr:colOff>438150</xdr:colOff>
      <xdr:row>57</xdr:row>
      <xdr:rowOff>85725</xdr:rowOff>
    </xdr:from>
    <xdr:to>
      <xdr:col>12</xdr:col>
      <xdr:colOff>200025</xdr:colOff>
      <xdr:row>59</xdr:row>
      <xdr:rowOff>114300</xdr:rowOff>
    </xdr:to>
    <xdr:pic>
      <xdr:nvPicPr>
        <xdr:cNvPr id="3" name="Bildobjekt 1"/>
        <xdr:cNvPicPr preferRelativeResize="1">
          <a:picLocks noChangeAspect="1"/>
        </xdr:cNvPicPr>
      </xdr:nvPicPr>
      <xdr:blipFill>
        <a:blip r:embed="rId3"/>
        <a:stretch>
          <a:fillRect/>
        </a:stretch>
      </xdr:blipFill>
      <xdr:spPr>
        <a:xfrm>
          <a:off x="4324350" y="9296400"/>
          <a:ext cx="2085975" cy="390525"/>
        </a:xfrm>
        <a:prstGeom prst="rect">
          <a:avLst/>
        </a:prstGeom>
        <a:noFill/>
        <a:ln w="9525" cmpd="sng">
          <a:noFill/>
        </a:ln>
      </xdr:spPr>
    </xdr:pic>
    <xdr:clientData/>
  </xdr:twoCellAnchor>
  <xdr:twoCellAnchor>
    <xdr:from>
      <xdr:col>5</xdr:col>
      <xdr:colOff>295275</xdr:colOff>
      <xdr:row>56</xdr:row>
      <xdr:rowOff>171450</xdr:rowOff>
    </xdr:from>
    <xdr:to>
      <xdr:col>7</xdr:col>
      <xdr:colOff>514350</xdr:colOff>
      <xdr:row>60</xdr:row>
      <xdr:rowOff>9525</xdr:rowOff>
    </xdr:to>
    <xdr:sp>
      <xdr:nvSpPr>
        <xdr:cNvPr id="4" name="textruta 6"/>
        <xdr:cNvSpPr txBox="1">
          <a:spLocks noChangeArrowheads="1"/>
        </xdr:cNvSpPr>
      </xdr:nvSpPr>
      <xdr:spPr>
        <a:xfrm>
          <a:off x="2438400" y="9201150"/>
          <a:ext cx="1381125" cy="561975"/>
        </a:xfrm>
        <a:prstGeom prst="rect">
          <a:avLst/>
        </a:prstGeom>
        <a:noFill/>
        <a:ln w="9525" cmpd="sng">
          <a:noFill/>
        </a:ln>
      </xdr:spPr>
      <xdr:txBody>
        <a:bodyPr vertOverflow="clip" wrap="square"/>
        <a:p>
          <a:pPr algn="ctr">
            <a:defRPr/>
          </a:pPr>
          <a:r>
            <a:rPr lang="en-US" cap="none" sz="1400" b="1" i="0" u="none" baseline="0">
              <a:solidFill>
                <a:srgbClr val="000000"/>
              </a:solidFill>
            </a:rPr>
            <a:t>Skogsbrukets Viltgrupp</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76200</xdr:rowOff>
    </xdr:from>
    <xdr:to>
      <xdr:col>0</xdr:col>
      <xdr:colOff>409575</xdr:colOff>
      <xdr:row>2</xdr:row>
      <xdr:rowOff>114300</xdr:rowOff>
    </xdr:to>
    <xdr:pic>
      <xdr:nvPicPr>
        <xdr:cNvPr id="1" name="Bildobjekt 7" descr="Naturforvaltning_symbol_RGB_150dpi.jpg"/>
        <xdr:cNvPicPr preferRelativeResize="1">
          <a:picLocks noChangeAspect="1"/>
        </xdr:cNvPicPr>
      </xdr:nvPicPr>
      <xdr:blipFill>
        <a:blip r:embed="rId1"/>
        <a:stretch>
          <a:fillRect/>
        </a:stretch>
      </xdr:blipFill>
      <xdr:spPr>
        <a:xfrm>
          <a:off x="114300" y="76200"/>
          <a:ext cx="295275" cy="514350"/>
        </a:xfrm>
        <a:prstGeom prst="rect">
          <a:avLst/>
        </a:prstGeom>
        <a:noFill/>
        <a:ln w="9525" cmpd="sng">
          <a:noFill/>
        </a:ln>
      </xdr:spPr>
    </xdr:pic>
    <xdr:clientData/>
  </xdr:twoCellAnchor>
  <xdr:twoCellAnchor editAs="oneCell">
    <xdr:from>
      <xdr:col>3</xdr:col>
      <xdr:colOff>142875</xdr:colOff>
      <xdr:row>54</xdr:row>
      <xdr:rowOff>9525</xdr:rowOff>
    </xdr:from>
    <xdr:to>
      <xdr:col>4</xdr:col>
      <xdr:colOff>161925</xdr:colOff>
      <xdr:row>57</xdr:row>
      <xdr:rowOff>9525</xdr:rowOff>
    </xdr:to>
    <xdr:pic>
      <xdr:nvPicPr>
        <xdr:cNvPr id="2" name="Bildobjekt 8" descr="Naturforvaltning_logo_RGB_150dpi.jpg"/>
        <xdr:cNvPicPr preferRelativeResize="1">
          <a:picLocks noChangeAspect="1"/>
        </xdr:cNvPicPr>
      </xdr:nvPicPr>
      <xdr:blipFill>
        <a:blip r:embed="rId2"/>
        <a:stretch>
          <a:fillRect/>
        </a:stretch>
      </xdr:blipFill>
      <xdr:spPr>
        <a:xfrm>
          <a:off x="1123950" y="10267950"/>
          <a:ext cx="1057275" cy="571500"/>
        </a:xfrm>
        <a:prstGeom prst="rect">
          <a:avLst/>
        </a:prstGeom>
        <a:noFill/>
        <a:ln w="9525" cmpd="sng">
          <a:noFill/>
        </a:ln>
      </xdr:spPr>
    </xdr:pic>
    <xdr:clientData/>
  </xdr:twoCellAnchor>
  <xdr:twoCellAnchor editAs="oneCell">
    <xdr:from>
      <xdr:col>6</xdr:col>
      <xdr:colOff>609600</xdr:colOff>
      <xdr:row>54</xdr:row>
      <xdr:rowOff>123825</xdr:rowOff>
    </xdr:from>
    <xdr:to>
      <xdr:col>10</xdr:col>
      <xdr:colOff>219075</xdr:colOff>
      <xdr:row>56</xdr:row>
      <xdr:rowOff>133350</xdr:rowOff>
    </xdr:to>
    <xdr:pic>
      <xdr:nvPicPr>
        <xdr:cNvPr id="3" name="Bildobjekt 1"/>
        <xdr:cNvPicPr preferRelativeResize="1">
          <a:picLocks noChangeAspect="1"/>
        </xdr:cNvPicPr>
      </xdr:nvPicPr>
      <xdr:blipFill>
        <a:blip r:embed="rId3"/>
        <a:stretch>
          <a:fillRect/>
        </a:stretch>
      </xdr:blipFill>
      <xdr:spPr>
        <a:xfrm>
          <a:off x="4476750" y="10382250"/>
          <a:ext cx="2085975" cy="390525"/>
        </a:xfrm>
        <a:prstGeom prst="rect">
          <a:avLst/>
        </a:prstGeom>
        <a:noFill/>
        <a:ln w="9525" cmpd="sng">
          <a:noFill/>
        </a:ln>
      </xdr:spPr>
    </xdr:pic>
    <xdr:clientData/>
  </xdr:twoCellAnchor>
  <xdr:twoCellAnchor>
    <xdr:from>
      <xdr:col>4</xdr:col>
      <xdr:colOff>571500</xdr:colOff>
      <xdr:row>54</xdr:row>
      <xdr:rowOff>19050</xdr:rowOff>
    </xdr:from>
    <xdr:to>
      <xdr:col>6</xdr:col>
      <xdr:colOff>104775</xdr:colOff>
      <xdr:row>57</xdr:row>
      <xdr:rowOff>9525</xdr:rowOff>
    </xdr:to>
    <xdr:sp>
      <xdr:nvSpPr>
        <xdr:cNvPr id="4" name="textruta 6"/>
        <xdr:cNvSpPr txBox="1">
          <a:spLocks noChangeArrowheads="1"/>
        </xdr:cNvSpPr>
      </xdr:nvSpPr>
      <xdr:spPr>
        <a:xfrm>
          <a:off x="2590800" y="10277475"/>
          <a:ext cx="1381125" cy="561975"/>
        </a:xfrm>
        <a:prstGeom prst="rect">
          <a:avLst/>
        </a:prstGeom>
        <a:noFill/>
        <a:ln w="9525" cmpd="sng">
          <a:noFill/>
        </a:ln>
      </xdr:spPr>
      <xdr:txBody>
        <a:bodyPr vertOverflow="clip" wrap="square"/>
        <a:p>
          <a:pPr algn="ctr">
            <a:defRPr/>
          </a:pPr>
          <a:r>
            <a:rPr lang="en-US" cap="none" sz="1400" b="1" i="0" u="none" baseline="0">
              <a:solidFill>
                <a:srgbClr val="000000"/>
              </a:solidFill>
            </a:rPr>
            <a:t>Skogsbrukets Viltgrupp</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10</xdr:row>
      <xdr:rowOff>142875</xdr:rowOff>
    </xdr:from>
    <xdr:to>
      <xdr:col>13</xdr:col>
      <xdr:colOff>523875</xdr:colOff>
      <xdr:row>22</xdr:row>
      <xdr:rowOff>123825</xdr:rowOff>
    </xdr:to>
    <xdr:graphicFrame>
      <xdr:nvGraphicFramePr>
        <xdr:cNvPr id="1" name="Diagram 1"/>
        <xdr:cNvGraphicFramePr/>
      </xdr:nvGraphicFramePr>
      <xdr:xfrm>
        <a:off x="5172075" y="2324100"/>
        <a:ext cx="3352800" cy="2324100"/>
      </xdr:xfrm>
      <a:graphic>
        <a:graphicData uri="http://schemas.openxmlformats.org/drawingml/2006/chart">
          <c:chart xmlns:c="http://schemas.openxmlformats.org/drawingml/2006/chart" r:id="rId1"/>
        </a:graphicData>
      </a:graphic>
    </xdr:graphicFrame>
    <xdr:clientData/>
  </xdr:twoCellAnchor>
  <xdr:twoCellAnchor>
    <xdr:from>
      <xdr:col>8</xdr:col>
      <xdr:colOff>219075</xdr:colOff>
      <xdr:row>23</xdr:row>
      <xdr:rowOff>28575</xdr:rowOff>
    </xdr:from>
    <xdr:to>
      <xdr:col>13</xdr:col>
      <xdr:colOff>504825</xdr:colOff>
      <xdr:row>34</xdr:row>
      <xdr:rowOff>190500</xdr:rowOff>
    </xdr:to>
    <xdr:graphicFrame>
      <xdr:nvGraphicFramePr>
        <xdr:cNvPr id="2" name="Diagram 1"/>
        <xdr:cNvGraphicFramePr/>
      </xdr:nvGraphicFramePr>
      <xdr:xfrm>
        <a:off x="5162550" y="4743450"/>
        <a:ext cx="3343275" cy="2314575"/>
      </xdr:xfrm>
      <a:graphic>
        <a:graphicData uri="http://schemas.openxmlformats.org/drawingml/2006/chart">
          <c:chart xmlns:c="http://schemas.openxmlformats.org/drawingml/2006/chart" r:id="rId2"/>
        </a:graphicData>
      </a:graphic>
    </xdr:graphicFrame>
    <xdr:clientData/>
  </xdr:twoCellAnchor>
  <xdr:twoCellAnchor>
    <xdr:from>
      <xdr:col>8</xdr:col>
      <xdr:colOff>228600</xdr:colOff>
      <xdr:row>35</xdr:row>
      <xdr:rowOff>38100</xdr:rowOff>
    </xdr:from>
    <xdr:to>
      <xdr:col>13</xdr:col>
      <xdr:colOff>504825</xdr:colOff>
      <xdr:row>45</xdr:row>
      <xdr:rowOff>104775</xdr:rowOff>
    </xdr:to>
    <xdr:graphicFrame>
      <xdr:nvGraphicFramePr>
        <xdr:cNvPr id="3" name="Diagram 1"/>
        <xdr:cNvGraphicFramePr/>
      </xdr:nvGraphicFramePr>
      <xdr:xfrm>
        <a:off x="5172075" y="7105650"/>
        <a:ext cx="3333750" cy="24574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114300</xdr:colOff>
      <xdr:row>0</xdr:row>
      <xdr:rowOff>76200</xdr:rowOff>
    </xdr:from>
    <xdr:to>
      <xdr:col>0</xdr:col>
      <xdr:colOff>409575</xdr:colOff>
      <xdr:row>2</xdr:row>
      <xdr:rowOff>114300</xdr:rowOff>
    </xdr:to>
    <xdr:pic>
      <xdr:nvPicPr>
        <xdr:cNvPr id="4" name="Bildobjekt 7" descr="Naturforvaltning_symbol_RGB_150dpi.jpg"/>
        <xdr:cNvPicPr preferRelativeResize="1">
          <a:picLocks noChangeAspect="1"/>
        </xdr:cNvPicPr>
      </xdr:nvPicPr>
      <xdr:blipFill>
        <a:blip r:embed="rId4"/>
        <a:stretch>
          <a:fillRect/>
        </a:stretch>
      </xdr:blipFill>
      <xdr:spPr>
        <a:xfrm>
          <a:off x="114300" y="76200"/>
          <a:ext cx="295275" cy="523875"/>
        </a:xfrm>
        <a:prstGeom prst="rect">
          <a:avLst/>
        </a:prstGeom>
        <a:noFill/>
        <a:ln w="9525" cmpd="sng">
          <a:noFill/>
        </a:ln>
      </xdr:spPr>
    </xdr:pic>
    <xdr:clientData/>
  </xdr:twoCellAnchor>
  <xdr:twoCellAnchor editAs="oneCell">
    <xdr:from>
      <xdr:col>3</xdr:col>
      <xdr:colOff>0</xdr:colOff>
      <xdr:row>46</xdr:row>
      <xdr:rowOff>0</xdr:rowOff>
    </xdr:from>
    <xdr:to>
      <xdr:col>3</xdr:col>
      <xdr:colOff>1057275</xdr:colOff>
      <xdr:row>48</xdr:row>
      <xdr:rowOff>180975</xdr:rowOff>
    </xdr:to>
    <xdr:pic>
      <xdr:nvPicPr>
        <xdr:cNvPr id="5" name="Bildobjekt 8" descr="Naturforvaltning_logo_RGB_150dpi.jpg"/>
        <xdr:cNvPicPr preferRelativeResize="1">
          <a:picLocks noChangeAspect="1"/>
        </xdr:cNvPicPr>
      </xdr:nvPicPr>
      <xdr:blipFill>
        <a:blip r:embed="rId5"/>
        <a:stretch>
          <a:fillRect/>
        </a:stretch>
      </xdr:blipFill>
      <xdr:spPr>
        <a:xfrm>
          <a:off x="1133475" y="9648825"/>
          <a:ext cx="1057275" cy="561975"/>
        </a:xfrm>
        <a:prstGeom prst="rect">
          <a:avLst/>
        </a:prstGeom>
        <a:noFill/>
        <a:ln w="9525" cmpd="sng">
          <a:noFill/>
        </a:ln>
      </xdr:spPr>
    </xdr:pic>
    <xdr:clientData/>
  </xdr:twoCellAnchor>
  <xdr:twoCellAnchor editAs="oneCell">
    <xdr:from>
      <xdr:col>7</xdr:col>
      <xdr:colOff>104775</xdr:colOff>
      <xdr:row>46</xdr:row>
      <xdr:rowOff>114300</xdr:rowOff>
    </xdr:from>
    <xdr:to>
      <xdr:col>10</xdr:col>
      <xdr:colOff>457200</xdr:colOff>
      <xdr:row>48</xdr:row>
      <xdr:rowOff>114300</xdr:rowOff>
    </xdr:to>
    <xdr:pic>
      <xdr:nvPicPr>
        <xdr:cNvPr id="6" name="Bildobjekt 1"/>
        <xdr:cNvPicPr preferRelativeResize="1">
          <a:picLocks noChangeAspect="1"/>
        </xdr:cNvPicPr>
      </xdr:nvPicPr>
      <xdr:blipFill>
        <a:blip r:embed="rId6"/>
        <a:stretch>
          <a:fillRect/>
        </a:stretch>
      </xdr:blipFill>
      <xdr:spPr>
        <a:xfrm>
          <a:off x="4391025" y="9763125"/>
          <a:ext cx="2095500" cy="381000"/>
        </a:xfrm>
        <a:prstGeom prst="rect">
          <a:avLst/>
        </a:prstGeom>
        <a:noFill/>
        <a:ln w="9525" cmpd="sng">
          <a:noFill/>
        </a:ln>
      </xdr:spPr>
    </xdr:pic>
    <xdr:clientData/>
  </xdr:twoCellAnchor>
  <xdr:twoCellAnchor>
    <xdr:from>
      <xdr:col>4</xdr:col>
      <xdr:colOff>219075</xdr:colOff>
      <xdr:row>46</xdr:row>
      <xdr:rowOff>0</xdr:rowOff>
    </xdr:from>
    <xdr:to>
      <xdr:col>6</xdr:col>
      <xdr:colOff>276225</xdr:colOff>
      <xdr:row>48</xdr:row>
      <xdr:rowOff>161925</xdr:rowOff>
    </xdr:to>
    <xdr:sp>
      <xdr:nvSpPr>
        <xdr:cNvPr id="7" name="textruta 8"/>
        <xdr:cNvSpPr txBox="1">
          <a:spLocks noChangeArrowheads="1"/>
        </xdr:cNvSpPr>
      </xdr:nvSpPr>
      <xdr:spPr>
        <a:xfrm>
          <a:off x="2533650" y="9648825"/>
          <a:ext cx="1371600" cy="542925"/>
        </a:xfrm>
        <a:prstGeom prst="rect">
          <a:avLst/>
        </a:prstGeom>
        <a:noFill/>
        <a:ln w="9525" cmpd="sng">
          <a:noFill/>
        </a:ln>
      </xdr:spPr>
      <xdr:txBody>
        <a:bodyPr vertOverflow="clip" wrap="square"/>
        <a:p>
          <a:pPr algn="ctr">
            <a:defRPr/>
          </a:pPr>
          <a:r>
            <a:rPr lang="en-US" cap="none" sz="1400" b="1" i="0" u="none" baseline="0">
              <a:solidFill>
                <a:srgbClr val="000000"/>
              </a:solidFill>
            </a:rPr>
            <a:t>Skogsbrukets Viltgrupp</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76200</xdr:rowOff>
    </xdr:from>
    <xdr:to>
      <xdr:col>0</xdr:col>
      <xdr:colOff>409575</xdr:colOff>
      <xdr:row>2</xdr:row>
      <xdr:rowOff>114300</xdr:rowOff>
    </xdr:to>
    <xdr:pic>
      <xdr:nvPicPr>
        <xdr:cNvPr id="1" name="Bildobjekt 7" descr="Naturforvaltning_symbol_RGB_150dpi.jpg"/>
        <xdr:cNvPicPr preferRelativeResize="1">
          <a:picLocks noChangeAspect="1"/>
        </xdr:cNvPicPr>
      </xdr:nvPicPr>
      <xdr:blipFill>
        <a:blip r:embed="rId1"/>
        <a:stretch>
          <a:fillRect/>
        </a:stretch>
      </xdr:blipFill>
      <xdr:spPr>
        <a:xfrm>
          <a:off x="114300" y="76200"/>
          <a:ext cx="295275" cy="514350"/>
        </a:xfrm>
        <a:prstGeom prst="rect">
          <a:avLst/>
        </a:prstGeom>
        <a:noFill/>
        <a:ln w="9525" cmpd="sng">
          <a:noFill/>
        </a:ln>
      </xdr:spPr>
    </xdr:pic>
    <xdr:clientData/>
  </xdr:twoCellAnchor>
  <xdr:twoCellAnchor>
    <xdr:from>
      <xdr:col>2</xdr:col>
      <xdr:colOff>257175</xdr:colOff>
      <xdr:row>29</xdr:row>
      <xdr:rowOff>180975</xdr:rowOff>
    </xdr:from>
    <xdr:to>
      <xdr:col>5</xdr:col>
      <xdr:colOff>685800</xdr:colOff>
      <xdr:row>39</xdr:row>
      <xdr:rowOff>114300</xdr:rowOff>
    </xdr:to>
    <xdr:sp>
      <xdr:nvSpPr>
        <xdr:cNvPr id="2" name="Rektangel 1"/>
        <xdr:cNvSpPr>
          <a:spLocks/>
        </xdr:cNvSpPr>
      </xdr:nvSpPr>
      <xdr:spPr>
        <a:xfrm>
          <a:off x="885825" y="5638800"/>
          <a:ext cx="3505200" cy="2028825"/>
        </a:xfrm>
        <a:prstGeom prst="rect">
          <a:avLst/>
        </a:prstGeom>
        <a:no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rPr>
            <a:t>Vargrevir i området</a:t>
          </a:r>
        </a:p>
      </xdr:txBody>
    </xdr:sp>
    <xdr:clientData/>
  </xdr:twoCellAnchor>
  <xdr:twoCellAnchor>
    <xdr:from>
      <xdr:col>2</xdr:col>
      <xdr:colOff>257175</xdr:colOff>
      <xdr:row>46</xdr:row>
      <xdr:rowOff>9525</xdr:rowOff>
    </xdr:from>
    <xdr:to>
      <xdr:col>7</xdr:col>
      <xdr:colOff>142875</xdr:colOff>
      <xdr:row>52</xdr:row>
      <xdr:rowOff>104775</xdr:rowOff>
    </xdr:to>
    <xdr:sp>
      <xdr:nvSpPr>
        <xdr:cNvPr id="3" name="Rektangel 7"/>
        <xdr:cNvSpPr>
          <a:spLocks/>
        </xdr:cNvSpPr>
      </xdr:nvSpPr>
      <xdr:spPr>
        <a:xfrm>
          <a:off x="885825" y="8848725"/>
          <a:ext cx="4429125" cy="1247775"/>
        </a:xfrm>
        <a:prstGeom prst="rect">
          <a:avLst/>
        </a:prstGeom>
        <a:no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rPr>
            <a:t>Predation i området</a:t>
          </a:r>
        </a:p>
      </xdr:txBody>
    </xdr:sp>
    <xdr:clientData/>
  </xdr:twoCellAnchor>
  <xdr:twoCellAnchor editAs="oneCell">
    <xdr:from>
      <xdr:col>3</xdr:col>
      <xdr:colOff>152400</xdr:colOff>
      <xdr:row>58</xdr:row>
      <xdr:rowOff>0</xdr:rowOff>
    </xdr:from>
    <xdr:to>
      <xdr:col>3</xdr:col>
      <xdr:colOff>1209675</xdr:colOff>
      <xdr:row>60</xdr:row>
      <xdr:rowOff>180975</xdr:rowOff>
    </xdr:to>
    <xdr:pic>
      <xdr:nvPicPr>
        <xdr:cNvPr id="4" name="Bildobjekt 8" descr="Naturforvaltning_logo_RGB_150dpi.jpg"/>
        <xdr:cNvPicPr preferRelativeResize="1">
          <a:picLocks noChangeAspect="1"/>
        </xdr:cNvPicPr>
      </xdr:nvPicPr>
      <xdr:blipFill>
        <a:blip r:embed="rId2"/>
        <a:stretch>
          <a:fillRect/>
        </a:stretch>
      </xdr:blipFill>
      <xdr:spPr>
        <a:xfrm>
          <a:off x="1133475" y="11306175"/>
          <a:ext cx="1057275" cy="561975"/>
        </a:xfrm>
        <a:prstGeom prst="rect">
          <a:avLst/>
        </a:prstGeom>
        <a:noFill/>
        <a:ln w="9525" cmpd="sng">
          <a:noFill/>
        </a:ln>
      </xdr:spPr>
    </xdr:pic>
    <xdr:clientData/>
  </xdr:twoCellAnchor>
  <xdr:twoCellAnchor editAs="oneCell">
    <xdr:from>
      <xdr:col>6</xdr:col>
      <xdr:colOff>47625</xdr:colOff>
      <xdr:row>58</xdr:row>
      <xdr:rowOff>114300</xdr:rowOff>
    </xdr:from>
    <xdr:to>
      <xdr:col>8</xdr:col>
      <xdr:colOff>676275</xdr:colOff>
      <xdr:row>60</xdr:row>
      <xdr:rowOff>114300</xdr:rowOff>
    </xdr:to>
    <xdr:pic>
      <xdr:nvPicPr>
        <xdr:cNvPr id="5" name="Bildobjekt 1"/>
        <xdr:cNvPicPr preferRelativeResize="1">
          <a:picLocks noChangeAspect="1"/>
        </xdr:cNvPicPr>
      </xdr:nvPicPr>
      <xdr:blipFill>
        <a:blip r:embed="rId3"/>
        <a:stretch>
          <a:fillRect/>
        </a:stretch>
      </xdr:blipFill>
      <xdr:spPr>
        <a:xfrm>
          <a:off x="4486275" y="11420475"/>
          <a:ext cx="2095500" cy="381000"/>
        </a:xfrm>
        <a:prstGeom prst="rect">
          <a:avLst/>
        </a:prstGeom>
        <a:noFill/>
        <a:ln w="9525" cmpd="sng">
          <a:noFill/>
        </a:ln>
      </xdr:spPr>
    </xdr:pic>
    <xdr:clientData/>
  </xdr:twoCellAnchor>
  <xdr:twoCellAnchor>
    <xdr:from>
      <xdr:col>3</xdr:col>
      <xdr:colOff>1619250</xdr:colOff>
      <xdr:row>58</xdr:row>
      <xdr:rowOff>9525</xdr:rowOff>
    </xdr:from>
    <xdr:to>
      <xdr:col>5</xdr:col>
      <xdr:colOff>276225</xdr:colOff>
      <xdr:row>60</xdr:row>
      <xdr:rowOff>171450</xdr:rowOff>
    </xdr:to>
    <xdr:sp>
      <xdr:nvSpPr>
        <xdr:cNvPr id="6" name="textruta 10"/>
        <xdr:cNvSpPr txBox="1">
          <a:spLocks noChangeArrowheads="1"/>
        </xdr:cNvSpPr>
      </xdr:nvSpPr>
      <xdr:spPr>
        <a:xfrm>
          <a:off x="2600325" y="11315700"/>
          <a:ext cx="1381125" cy="542925"/>
        </a:xfrm>
        <a:prstGeom prst="rect">
          <a:avLst/>
        </a:prstGeom>
        <a:noFill/>
        <a:ln w="9525" cmpd="sng">
          <a:noFill/>
        </a:ln>
      </xdr:spPr>
      <xdr:txBody>
        <a:bodyPr vertOverflow="clip" wrap="square"/>
        <a:p>
          <a:pPr algn="ctr">
            <a:defRPr/>
          </a:pPr>
          <a:r>
            <a:rPr lang="en-US" cap="none" sz="1400" b="1" i="0" u="none" baseline="0">
              <a:solidFill>
                <a:srgbClr val="000000"/>
              </a:solidFill>
            </a:rPr>
            <a:t>Skogsbrukets Viltgrupp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showRowColHeaders="0" zoomScale="75" zoomScaleNormal="75" zoomScaleSheetLayoutView="75" zoomScalePageLayoutView="50" workbookViewId="0" topLeftCell="A1">
      <selection activeCell="B45" sqref="B45:K47"/>
    </sheetView>
  </sheetViews>
  <sheetFormatPr defaultColWidth="0" defaultRowHeight="14.25" zeroHeight="1"/>
  <cols>
    <col min="1" max="1" width="4.625" style="3" customWidth="1"/>
    <col min="2" max="10" width="7.625" style="3" customWidth="1"/>
    <col min="11" max="11" width="7.625" style="0" customWidth="1"/>
    <col min="12" max="12" width="4.625" style="3" customWidth="1"/>
    <col min="13" max="255" width="0" style="3" hidden="1" customWidth="1"/>
    <col min="256" max="16384" width="4.625" style="3" hidden="1" customWidth="1"/>
  </cols>
  <sheetData>
    <row r="1" spans="1:12" ht="14.25">
      <c r="A1" s="25"/>
      <c r="B1" s="26"/>
      <c r="C1" s="26"/>
      <c r="D1" s="26"/>
      <c r="E1" s="26"/>
      <c r="F1" s="26"/>
      <c r="G1" s="26"/>
      <c r="H1" s="26"/>
      <c r="I1" s="26"/>
      <c r="J1" s="27"/>
      <c r="K1" s="27"/>
      <c r="L1" s="27"/>
    </row>
    <row r="2" spans="1:12" ht="22.5" customHeight="1">
      <c r="A2" s="26"/>
      <c r="B2" s="455" t="s">
        <v>298</v>
      </c>
      <c r="C2" s="456"/>
      <c r="D2" s="456"/>
      <c r="E2" s="456"/>
      <c r="F2" s="456"/>
      <c r="G2" s="456"/>
      <c r="H2" s="456"/>
      <c r="I2" s="457"/>
      <c r="J2" s="457"/>
      <c r="K2" s="457"/>
      <c r="L2" s="27"/>
    </row>
    <row r="3" spans="1:12" ht="14.25" customHeight="1">
      <c r="A3" s="26"/>
      <c r="B3" s="27"/>
      <c r="C3" s="27"/>
      <c r="D3" s="27"/>
      <c r="E3" s="27"/>
      <c r="F3" s="27"/>
      <c r="G3" s="27"/>
      <c r="H3" s="27"/>
      <c r="I3" s="27"/>
      <c r="J3" s="27"/>
      <c r="K3" s="27"/>
      <c r="L3" s="27"/>
    </row>
    <row r="4" spans="1:12" ht="14.25" customHeight="1">
      <c r="A4" s="26"/>
      <c r="B4" s="39" t="s">
        <v>299</v>
      </c>
      <c r="C4" s="27"/>
      <c r="D4" s="26"/>
      <c r="E4" s="26"/>
      <c r="F4" s="26"/>
      <c r="G4" s="26"/>
      <c r="H4" s="26"/>
      <c r="I4" s="26"/>
      <c r="J4" s="27"/>
      <c r="K4" s="27"/>
      <c r="L4" s="27"/>
    </row>
    <row r="5" spans="1:12" ht="14.25" customHeight="1">
      <c r="A5" s="26"/>
      <c r="B5" s="454" t="s">
        <v>301</v>
      </c>
      <c r="C5" s="459"/>
      <c r="D5" s="459"/>
      <c r="E5" s="459"/>
      <c r="F5" s="459"/>
      <c r="G5" s="459"/>
      <c r="H5" s="459"/>
      <c r="I5" s="459"/>
      <c r="J5" s="459"/>
      <c r="K5" s="459"/>
      <c r="L5" s="459"/>
    </row>
    <row r="6" spans="1:12" ht="14.25" customHeight="1">
      <c r="A6" s="26"/>
      <c r="B6" s="459"/>
      <c r="C6" s="459"/>
      <c r="D6" s="459"/>
      <c r="E6" s="459"/>
      <c r="F6" s="459"/>
      <c r="G6" s="459"/>
      <c r="H6" s="459"/>
      <c r="I6" s="459"/>
      <c r="J6" s="459"/>
      <c r="K6" s="459"/>
      <c r="L6" s="459"/>
    </row>
    <row r="7" spans="1:12" ht="14.25" customHeight="1">
      <c r="A7" s="26"/>
      <c r="B7" s="459"/>
      <c r="C7" s="459"/>
      <c r="D7" s="459"/>
      <c r="E7" s="459"/>
      <c r="F7" s="459"/>
      <c r="G7" s="459"/>
      <c r="H7" s="459"/>
      <c r="I7" s="459"/>
      <c r="J7" s="459"/>
      <c r="K7" s="459"/>
      <c r="L7" s="459"/>
    </row>
    <row r="8" spans="1:12" ht="14.25" customHeight="1">
      <c r="A8" s="26"/>
      <c r="B8" s="39"/>
      <c r="C8" s="27"/>
      <c r="D8" s="27"/>
      <c r="E8" s="27"/>
      <c r="F8" s="27"/>
      <c r="G8" s="27"/>
      <c r="H8" s="27"/>
      <c r="I8" s="27"/>
      <c r="J8" s="27"/>
      <c r="K8" s="26"/>
      <c r="L8" s="27"/>
    </row>
    <row r="9" spans="1:12" ht="14.25" customHeight="1">
      <c r="A9" s="26"/>
      <c r="B9" s="39" t="s">
        <v>300</v>
      </c>
      <c r="C9" s="27"/>
      <c r="D9" s="26"/>
      <c r="E9" s="26"/>
      <c r="F9" s="26"/>
      <c r="G9" s="26"/>
      <c r="H9" s="26"/>
      <c r="I9" s="26"/>
      <c r="J9" s="27"/>
      <c r="K9" s="27"/>
      <c r="L9" s="27"/>
    </row>
    <row r="10" spans="1:12" ht="14.25" customHeight="1">
      <c r="A10" s="26"/>
      <c r="B10" s="454" t="s">
        <v>337</v>
      </c>
      <c r="C10" s="459"/>
      <c r="D10" s="459"/>
      <c r="E10" s="459"/>
      <c r="F10" s="459"/>
      <c r="G10" s="459"/>
      <c r="H10" s="459"/>
      <c r="I10" s="459"/>
      <c r="J10" s="459"/>
      <c r="K10" s="459"/>
      <c r="L10" s="459"/>
    </row>
    <row r="11" spans="1:12" ht="14.25" customHeight="1">
      <c r="A11" s="26"/>
      <c r="B11" s="459"/>
      <c r="C11" s="459"/>
      <c r="D11" s="459"/>
      <c r="E11" s="459"/>
      <c r="F11" s="459"/>
      <c r="G11" s="459"/>
      <c r="H11" s="459"/>
      <c r="I11" s="459"/>
      <c r="J11" s="459"/>
      <c r="K11" s="459"/>
      <c r="L11" s="459"/>
    </row>
    <row r="12" spans="1:12" ht="14.25" customHeight="1">
      <c r="A12" s="26"/>
      <c r="B12" s="27"/>
      <c r="C12" s="27"/>
      <c r="D12" s="27"/>
      <c r="E12" s="27"/>
      <c r="F12" s="27"/>
      <c r="G12" s="27"/>
      <c r="H12" s="27"/>
      <c r="I12" s="27"/>
      <c r="J12" s="27"/>
      <c r="K12" s="26"/>
      <c r="L12" s="27"/>
    </row>
    <row r="13" spans="1:12" ht="14.25" customHeight="1">
      <c r="A13" s="26"/>
      <c r="B13" s="39" t="s">
        <v>302</v>
      </c>
      <c r="C13" s="27"/>
      <c r="D13" s="26"/>
      <c r="E13" s="26"/>
      <c r="F13" s="26"/>
      <c r="G13" s="26"/>
      <c r="H13" s="26"/>
      <c r="I13" s="26"/>
      <c r="J13" s="27"/>
      <c r="K13" s="27"/>
      <c r="L13" s="27"/>
    </row>
    <row r="14" spans="1:12" ht="14.25" customHeight="1">
      <c r="A14" s="26"/>
      <c r="B14" s="454" t="s">
        <v>303</v>
      </c>
      <c r="C14" s="459"/>
      <c r="D14" s="459"/>
      <c r="E14" s="459"/>
      <c r="F14" s="459"/>
      <c r="G14" s="459"/>
      <c r="H14" s="459"/>
      <c r="I14" s="459"/>
      <c r="J14" s="459"/>
      <c r="K14" s="459"/>
      <c r="L14" s="459"/>
    </row>
    <row r="15" spans="1:12" ht="14.25" customHeight="1">
      <c r="A15" s="26"/>
      <c r="B15" s="459"/>
      <c r="C15" s="459"/>
      <c r="D15" s="459"/>
      <c r="E15" s="459"/>
      <c r="F15" s="459"/>
      <c r="G15" s="459"/>
      <c r="H15" s="459"/>
      <c r="I15" s="459"/>
      <c r="J15" s="459"/>
      <c r="K15" s="459"/>
      <c r="L15" s="459"/>
    </row>
    <row r="16" spans="1:12" ht="14.25" customHeight="1">
      <c r="A16" s="26"/>
      <c r="B16" s="459"/>
      <c r="C16" s="459"/>
      <c r="D16" s="459"/>
      <c r="E16" s="459"/>
      <c r="F16" s="459"/>
      <c r="G16" s="459"/>
      <c r="H16" s="459"/>
      <c r="I16" s="459"/>
      <c r="J16" s="459"/>
      <c r="K16" s="459"/>
      <c r="L16" s="459"/>
    </row>
    <row r="17" spans="1:12" ht="14.25" customHeight="1">
      <c r="A17" s="26"/>
      <c r="B17" s="459"/>
      <c r="C17" s="459"/>
      <c r="D17" s="459"/>
      <c r="E17" s="459"/>
      <c r="F17" s="459"/>
      <c r="G17" s="459"/>
      <c r="H17" s="459"/>
      <c r="I17" s="459"/>
      <c r="J17" s="459"/>
      <c r="K17" s="459"/>
      <c r="L17" s="459"/>
    </row>
    <row r="18" spans="1:12" ht="14.25" customHeight="1">
      <c r="A18" s="26"/>
      <c r="B18" s="27"/>
      <c r="C18" s="27"/>
      <c r="D18" s="27"/>
      <c r="E18" s="27"/>
      <c r="F18" s="27"/>
      <c r="G18" s="27"/>
      <c r="H18" s="27"/>
      <c r="I18" s="27"/>
      <c r="J18" s="27"/>
      <c r="K18" s="27"/>
      <c r="L18" s="27"/>
    </row>
    <row r="19" spans="1:12" ht="22.5" customHeight="1">
      <c r="A19" s="26"/>
      <c r="B19" s="455" t="s">
        <v>276</v>
      </c>
      <c r="C19" s="456"/>
      <c r="D19" s="456"/>
      <c r="E19" s="456"/>
      <c r="F19" s="456"/>
      <c r="G19" s="456"/>
      <c r="H19" s="456"/>
      <c r="I19" s="457"/>
      <c r="J19" s="457"/>
      <c r="K19" s="457"/>
      <c r="L19" s="27"/>
    </row>
    <row r="20" spans="1:12" ht="22.5" customHeight="1">
      <c r="A20" s="26"/>
      <c r="B20" s="26"/>
      <c r="C20" s="26"/>
      <c r="D20" s="26"/>
      <c r="E20" s="26"/>
      <c r="F20" s="26"/>
      <c r="G20" s="26"/>
      <c r="H20" s="26"/>
      <c r="I20" s="26"/>
      <c r="J20" s="27"/>
      <c r="K20" s="27"/>
      <c r="L20" s="27"/>
    </row>
    <row r="21" spans="1:12" ht="14.25" customHeight="1">
      <c r="A21" s="26"/>
      <c r="B21" s="39" t="s">
        <v>278</v>
      </c>
      <c r="C21" s="27"/>
      <c r="D21" s="26"/>
      <c r="E21" s="26"/>
      <c r="F21" s="26"/>
      <c r="G21" s="26"/>
      <c r="H21" s="26"/>
      <c r="I21" s="26"/>
      <c r="J21" s="27"/>
      <c r="K21" s="27"/>
      <c r="L21" s="27"/>
    </row>
    <row r="22" spans="1:12" ht="14.25" customHeight="1">
      <c r="A22" s="26"/>
      <c r="B22" s="454" t="s">
        <v>277</v>
      </c>
      <c r="C22" s="459"/>
      <c r="D22" s="459"/>
      <c r="E22" s="459"/>
      <c r="F22" s="459"/>
      <c r="G22" s="459"/>
      <c r="H22" s="459"/>
      <c r="I22" s="459"/>
      <c r="J22" s="459"/>
      <c r="K22" s="459"/>
      <c r="L22" s="459"/>
    </row>
    <row r="23" spans="1:12" ht="14.25" customHeight="1">
      <c r="A23" s="26"/>
      <c r="B23" s="459"/>
      <c r="C23" s="459"/>
      <c r="D23" s="459"/>
      <c r="E23" s="459"/>
      <c r="F23" s="459"/>
      <c r="G23" s="459"/>
      <c r="H23" s="459"/>
      <c r="I23" s="459"/>
      <c r="J23" s="459"/>
      <c r="K23" s="459"/>
      <c r="L23" s="459"/>
    </row>
    <row r="24" spans="1:12" ht="14.25" customHeight="1">
      <c r="A24" s="26"/>
      <c r="B24" s="459"/>
      <c r="C24" s="459"/>
      <c r="D24" s="459"/>
      <c r="E24" s="459"/>
      <c r="F24" s="459"/>
      <c r="G24" s="459"/>
      <c r="H24" s="459"/>
      <c r="I24" s="459"/>
      <c r="J24" s="459"/>
      <c r="K24" s="459"/>
      <c r="L24" s="459"/>
    </row>
    <row r="25" spans="1:12" ht="14.25" customHeight="1">
      <c r="A25" s="26"/>
      <c r="B25" s="26"/>
      <c r="C25" s="26"/>
      <c r="D25" s="26"/>
      <c r="E25" s="26"/>
      <c r="F25" s="26"/>
      <c r="G25" s="26"/>
      <c r="H25" s="26"/>
      <c r="I25" s="26"/>
      <c r="J25" s="26"/>
      <c r="K25" s="26"/>
      <c r="L25" s="27"/>
    </row>
    <row r="26" spans="1:12" ht="14.25" customHeight="1">
      <c r="A26" s="26"/>
      <c r="B26" s="39" t="s">
        <v>279</v>
      </c>
      <c r="C26" s="27"/>
      <c r="D26" s="27"/>
      <c r="E26" s="206"/>
      <c r="F26" s="206"/>
      <c r="G26" s="206"/>
      <c r="H26" s="206"/>
      <c r="I26" s="26"/>
      <c r="J26" s="26"/>
      <c r="K26" s="26"/>
      <c r="L26" s="27"/>
    </row>
    <row r="27" spans="1:12" ht="14.25" customHeight="1">
      <c r="A27" s="26"/>
      <c r="B27" s="454" t="s">
        <v>281</v>
      </c>
      <c r="C27" s="458"/>
      <c r="D27" s="458"/>
      <c r="E27" s="458"/>
      <c r="F27" s="458"/>
      <c r="G27" s="458"/>
      <c r="H27" s="458"/>
      <c r="I27" s="458"/>
      <c r="J27" s="458"/>
      <c r="K27" s="458"/>
      <c r="L27" s="27"/>
    </row>
    <row r="28" spans="1:12" ht="14.25" customHeight="1">
      <c r="A28" s="26"/>
      <c r="B28" s="458"/>
      <c r="C28" s="458"/>
      <c r="D28" s="458"/>
      <c r="E28" s="458"/>
      <c r="F28" s="458"/>
      <c r="G28" s="458"/>
      <c r="H28" s="458"/>
      <c r="I28" s="458"/>
      <c r="J28" s="458"/>
      <c r="K28" s="458"/>
      <c r="L28" s="27"/>
    </row>
    <row r="29" spans="1:12" ht="14.25" customHeight="1">
      <c r="A29" s="26"/>
      <c r="B29" s="458"/>
      <c r="C29" s="458"/>
      <c r="D29" s="458"/>
      <c r="E29" s="458"/>
      <c r="F29" s="458"/>
      <c r="G29" s="458"/>
      <c r="H29" s="458"/>
      <c r="I29" s="458"/>
      <c r="J29" s="458"/>
      <c r="K29" s="458"/>
      <c r="L29" s="27"/>
    </row>
    <row r="30" spans="1:12" ht="14.25">
      <c r="A30" s="26"/>
      <c r="B30" s="459"/>
      <c r="C30" s="459"/>
      <c r="D30" s="459"/>
      <c r="E30" s="459"/>
      <c r="F30" s="459"/>
      <c r="G30" s="459"/>
      <c r="H30" s="459"/>
      <c r="I30" s="459"/>
      <c r="J30" s="459"/>
      <c r="K30" s="459"/>
      <c r="L30" s="27"/>
    </row>
    <row r="31" spans="1:12" ht="14.25">
      <c r="A31" s="26"/>
      <c r="B31" s="26"/>
      <c r="C31" s="26"/>
      <c r="D31" s="26"/>
      <c r="E31" s="26"/>
      <c r="F31" s="26"/>
      <c r="G31" s="26"/>
      <c r="H31" s="26"/>
      <c r="I31" s="26"/>
      <c r="J31" s="26"/>
      <c r="K31" s="26"/>
      <c r="L31" s="27"/>
    </row>
    <row r="32" spans="1:12" ht="15">
      <c r="A32" s="26"/>
      <c r="B32" s="39" t="s">
        <v>282</v>
      </c>
      <c r="C32" s="27"/>
      <c r="D32" s="27"/>
      <c r="E32" s="27"/>
      <c r="F32" s="27"/>
      <c r="G32" s="27"/>
      <c r="H32" s="27"/>
      <c r="I32" s="27"/>
      <c r="J32" s="27"/>
      <c r="K32" s="27"/>
      <c r="L32" s="27"/>
    </row>
    <row r="33" spans="1:12" ht="14.25">
      <c r="A33" s="26"/>
      <c r="B33" s="454" t="s">
        <v>280</v>
      </c>
      <c r="C33" s="459"/>
      <c r="D33" s="459"/>
      <c r="E33" s="459"/>
      <c r="F33" s="459"/>
      <c r="G33" s="459"/>
      <c r="H33" s="459"/>
      <c r="I33" s="459"/>
      <c r="J33" s="459"/>
      <c r="K33" s="459"/>
      <c r="L33" s="27"/>
    </row>
    <row r="34" spans="1:12" ht="14.25">
      <c r="A34" s="26"/>
      <c r="B34" s="459"/>
      <c r="C34" s="459"/>
      <c r="D34" s="459"/>
      <c r="E34" s="459"/>
      <c r="F34" s="459"/>
      <c r="G34" s="459"/>
      <c r="H34" s="459"/>
      <c r="I34" s="459"/>
      <c r="J34" s="459"/>
      <c r="K34" s="459"/>
      <c r="L34" s="27"/>
    </row>
    <row r="35" spans="1:12" ht="14.25">
      <c r="A35" s="26"/>
      <c r="B35" s="459"/>
      <c r="C35" s="459"/>
      <c r="D35" s="459"/>
      <c r="E35" s="459"/>
      <c r="F35" s="459"/>
      <c r="G35" s="459"/>
      <c r="H35" s="459"/>
      <c r="I35" s="459"/>
      <c r="J35" s="459"/>
      <c r="K35" s="459"/>
      <c r="L35" s="27"/>
    </row>
    <row r="36" spans="1:12" ht="14.25">
      <c r="A36" s="26"/>
      <c r="B36" s="459"/>
      <c r="C36" s="459"/>
      <c r="D36" s="459"/>
      <c r="E36" s="459"/>
      <c r="F36" s="459"/>
      <c r="G36" s="459"/>
      <c r="H36" s="459"/>
      <c r="I36" s="459"/>
      <c r="J36" s="459"/>
      <c r="K36" s="459"/>
      <c r="L36" s="27"/>
    </row>
    <row r="37" spans="1:12" ht="14.25" customHeight="1">
      <c r="A37" s="26"/>
      <c r="B37" s="26"/>
      <c r="C37" s="26"/>
      <c r="D37" s="26"/>
      <c r="E37" s="26"/>
      <c r="F37" s="26"/>
      <c r="G37" s="26"/>
      <c r="H37" s="26"/>
      <c r="I37" s="26"/>
      <c r="J37" s="26"/>
      <c r="K37" s="26"/>
      <c r="L37" s="27"/>
    </row>
    <row r="38" spans="1:12" ht="14.25" customHeight="1">
      <c r="A38" s="26"/>
      <c r="B38" s="441" t="s">
        <v>287</v>
      </c>
      <c r="C38" s="174"/>
      <c r="D38" s="174"/>
      <c r="E38" s="174"/>
      <c r="F38" s="174"/>
      <c r="G38" s="174"/>
      <c r="H38" s="174"/>
      <c r="I38" s="174"/>
      <c r="J38" s="174"/>
      <c r="K38" s="174"/>
      <c r="L38" s="27"/>
    </row>
    <row r="39" spans="1:12" ht="14.25" customHeight="1">
      <c r="A39" s="26"/>
      <c r="B39" s="454" t="s">
        <v>288</v>
      </c>
      <c r="C39" s="458"/>
      <c r="D39" s="458"/>
      <c r="E39" s="458"/>
      <c r="F39" s="458"/>
      <c r="G39" s="458"/>
      <c r="H39" s="458"/>
      <c r="I39" s="458"/>
      <c r="J39" s="458"/>
      <c r="K39" s="458"/>
      <c r="L39" s="27"/>
    </row>
    <row r="40" spans="1:12" ht="14.25" customHeight="1">
      <c r="A40" s="26"/>
      <c r="B40" s="458"/>
      <c r="C40" s="458"/>
      <c r="D40" s="458"/>
      <c r="E40" s="458"/>
      <c r="F40" s="458"/>
      <c r="G40" s="458"/>
      <c r="H40" s="458"/>
      <c r="I40" s="458"/>
      <c r="J40" s="458"/>
      <c r="K40" s="458"/>
      <c r="L40" s="27"/>
    </row>
    <row r="41" spans="1:12" ht="14.25">
      <c r="A41" s="27"/>
      <c r="B41" s="458"/>
      <c r="C41" s="458"/>
      <c r="D41" s="458"/>
      <c r="E41" s="458"/>
      <c r="F41" s="458"/>
      <c r="G41" s="458"/>
      <c r="H41" s="458"/>
      <c r="I41" s="458"/>
      <c r="J41" s="458"/>
      <c r="K41" s="458"/>
      <c r="L41" s="27"/>
    </row>
    <row r="42" spans="1:12" ht="14.25">
      <c r="A42" s="27"/>
      <c r="B42" s="459"/>
      <c r="C42" s="459"/>
      <c r="D42" s="459"/>
      <c r="E42" s="459"/>
      <c r="F42" s="459"/>
      <c r="G42" s="459"/>
      <c r="H42" s="459"/>
      <c r="I42" s="459"/>
      <c r="J42" s="459"/>
      <c r="K42" s="459"/>
      <c r="L42" s="27"/>
    </row>
    <row r="43" spans="1:12" ht="14.25">
      <c r="A43" s="27"/>
      <c r="B43" s="27"/>
      <c r="C43" s="27"/>
      <c r="D43" s="27"/>
      <c r="E43" s="27"/>
      <c r="F43" s="27"/>
      <c r="G43" s="27"/>
      <c r="H43" s="27"/>
      <c r="I43" s="27"/>
      <c r="J43" s="27"/>
      <c r="K43" s="27"/>
      <c r="L43" s="27"/>
    </row>
    <row r="44" spans="1:12" ht="15">
      <c r="A44" s="27"/>
      <c r="B44" s="440" t="s">
        <v>283</v>
      </c>
      <c r="C44" s="26"/>
      <c r="D44" s="26"/>
      <c r="E44" s="26"/>
      <c r="F44" s="26"/>
      <c r="G44" s="26"/>
      <c r="H44" s="26"/>
      <c r="I44" s="26"/>
      <c r="J44" s="26"/>
      <c r="K44" s="26"/>
      <c r="L44" s="27"/>
    </row>
    <row r="45" spans="2:11" s="27" customFormat="1" ht="14.25" customHeight="1">
      <c r="B45" s="454" t="s">
        <v>284</v>
      </c>
      <c r="C45" s="454"/>
      <c r="D45" s="454"/>
      <c r="E45" s="454"/>
      <c r="F45" s="454"/>
      <c r="G45" s="454"/>
      <c r="H45" s="454"/>
      <c r="I45" s="454"/>
      <c r="J45" s="454"/>
      <c r="K45" s="454"/>
    </row>
    <row r="46" spans="2:11" s="27" customFormat="1" ht="14.25">
      <c r="B46" s="454"/>
      <c r="C46" s="454"/>
      <c r="D46" s="454"/>
      <c r="E46" s="454"/>
      <c r="F46" s="454"/>
      <c r="G46" s="454"/>
      <c r="H46" s="454"/>
      <c r="I46" s="454"/>
      <c r="J46" s="454"/>
      <c r="K46" s="454"/>
    </row>
    <row r="47" spans="2:11" s="27" customFormat="1" ht="14.25">
      <c r="B47" s="454"/>
      <c r="C47" s="454"/>
      <c r="D47" s="454"/>
      <c r="E47" s="454"/>
      <c r="F47" s="454"/>
      <c r="G47" s="454"/>
      <c r="H47" s="454"/>
      <c r="I47" s="454"/>
      <c r="J47" s="454"/>
      <c r="K47" s="454"/>
    </row>
    <row r="48" s="27" customFormat="1" ht="14.25"/>
    <row r="49" s="27" customFormat="1" ht="14.25"/>
    <row r="50" s="27" customFormat="1" ht="14.25"/>
    <row r="51" s="27" customFormat="1" ht="14.25"/>
    <row r="52" s="27" customFormat="1" ht="14.25">
      <c r="A52" s="3"/>
    </row>
    <row r="53" spans="1:12" s="27" customFormat="1" ht="14.25" hidden="1">
      <c r="A53" s="3"/>
      <c r="B53" s="3"/>
      <c r="C53" s="3"/>
      <c r="D53" s="3"/>
      <c r="E53" s="3"/>
      <c r="F53" s="3"/>
      <c r="G53" s="3"/>
      <c r="H53" s="3"/>
      <c r="I53" s="3"/>
      <c r="J53" s="3"/>
      <c r="K53"/>
      <c r="L53" s="3"/>
    </row>
  </sheetData>
  <sheetProtection password="DAF7" sheet="1" selectLockedCells="1" selectUnlockedCells="1"/>
  <mergeCells count="10">
    <mergeCell ref="B45:K47"/>
    <mergeCell ref="B19:K19"/>
    <mergeCell ref="B39:K42"/>
    <mergeCell ref="B2:K2"/>
    <mergeCell ref="B5:L7"/>
    <mergeCell ref="B14:L17"/>
    <mergeCell ref="B27:K30"/>
    <mergeCell ref="B10:L11"/>
    <mergeCell ref="B33:K36"/>
    <mergeCell ref="B22:L2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headerFooter>
    <oddHeader xml:space="preserve">&amp;C </oddHeader>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73"/>
  <sheetViews>
    <sheetView zoomScale="75" zoomScaleNormal="75" zoomScaleSheetLayoutView="75" zoomScalePageLayoutView="50" workbookViewId="0" topLeftCell="A11">
      <selection activeCell="G22" sqref="G22"/>
    </sheetView>
  </sheetViews>
  <sheetFormatPr defaultColWidth="0" defaultRowHeight="14.25" zeroHeight="1"/>
  <cols>
    <col min="1" max="1" width="6.625" style="1" customWidth="1"/>
    <col min="2" max="2" width="1.625" style="2" customWidth="1"/>
    <col min="3" max="3" width="4.625" style="38" customWidth="1"/>
    <col min="4" max="4" width="26.125" style="12" customWidth="1"/>
    <col min="5" max="7" width="9.625" style="12" customWidth="1"/>
    <col min="8" max="8" width="9.625" style="32" customWidth="1"/>
    <col min="9" max="9" width="26.125" style="32" customWidth="1"/>
    <col min="10" max="11" width="9.625" style="32" customWidth="1"/>
    <col min="12" max="12" width="14.625" style="32" customWidth="1"/>
    <col min="13" max="13" width="0" style="0" hidden="1" customWidth="1"/>
    <col min="14" max="14" width="8.625" style="12" hidden="1" customWidth="1"/>
    <col min="15" max="16" width="0" style="12" hidden="1" customWidth="1"/>
    <col min="17" max="16384" width="8.625" style="12" hidden="1" customWidth="1"/>
  </cols>
  <sheetData>
    <row r="1" spans="3:12" ht="23.25">
      <c r="C1" s="27"/>
      <c r="D1" s="538" t="s">
        <v>68</v>
      </c>
      <c r="E1" s="538"/>
      <c r="F1" s="538"/>
      <c r="G1" s="539"/>
      <c r="H1" s="539"/>
      <c r="I1" s="539"/>
      <c r="J1" s="539"/>
      <c r="K1" s="539"/>
      <c r="L1" s="61"/>
    </row>
    <row r="2" spans="3:12" ht="14.25">
      <c r="C2" s="27"/>
      <c r="D2" s="191">
        <f ca="1">IF(TODAY()&lt;&gt;Kod!A11,"","Datum för använda modellen har passerats")</f>
      </c>
      <c r="E2" s="61"/>
      <c r="F2" s="61"/>
      <c r="G2" s="61"/>
      <c r="H2" s="61"/>
      <c r="I2" s="61"/>
      <c r="J2" s="61"/>
      <c r="K2" s="61"/>
      <c r="L2" s="61"/>
    </row>
    <row r="3" spans="3:14" ht="19.5" customHeight="1">
      <c r="C3" s="27"/>
      <c r="D3" s="274" t="s">
        <v>123</v>
      </c>
      <c r="E3" s="540" t="str">
        <f>IF('3 Förutsättningar'!E3&lt;&gt;"",'3 Förutsättningar'!E3,"NAMN PÅ OMRÅDE SAKNAS I BLAD 3")</f>
        <v>Stöde S:a ÄSO</v>
      </c>
      <c r="F3" s="541"/>
      <c r="G3" s="541"/>
      <c r="H3" s="541"/>
      <c r="I3" s="541"/>
      <c r="J3" s="542"/>
      <c r="K3" s="543"/>
      <c r="L3" s="61"/>
      <c r="M3" s="12"/>
      <c r="N3" s="26"/>
    </row>
    <row r="4" spans="3:14" ht="19.5" customHeight="1">
      <c r="C4" s="27"/>
      <c r="D4" s="273" t="s">
        <v>124</v>
      </c>
      <c r="E4" s="512"/>
      <c r="F4" s="513"/>
      <c r="G4" s="432" t="s">
        <v>125</v>
      </c>
      <c r="H4" s="276"/>
      <c r="I4" s="433" t="s">
        <v>126</v>
      </c>
      <c r="J4" s="477"/>
      <c r="K4" s="480"/>
      <c r="L4" s="61"/>
      <c r="M4" s="12"/>
      <c r="N4" s="26"/>
    </row>
    <row r="5" spans="3:14" ht="19.5" customHeight="1">
      <c r="C5" s="27"/>
      <c r="D5" s="434" t="s">
        <v>139</v>
      </c>
      <c r="E5" s="535" t="str">
        <f>Kod!A14</f>
        <v>3.5</v>
      </c>
      <c r="F5" s="520"/>
      <c r="G5" s="485"/>
      <c r="H5" s="486"/>
      <c r="I5" s="486"/>
      <c r="J5" s="530"/>
      <c r="K5" s="536"/>
      <c r="L5" s="3"/>
      <c r="M5" s="148"/>
      <c r="N5" s="149"/>
    </row>
    <row r="6" spans="3:13" ht="14.25">
      <c r="C6" s="27"/>
      <c r="D6" s="61"/>
      <c r="E6" s="61"/>
      <c r="F6" s="61"/>
      <c r="G6" s="61"/>
      <c r="H6" s="61"/>
      <c r="I6" s="61"/>
      <c r="J6" s="61"/>
      <c r="K6" s="61"/>
      <c r="L6" s="61"/>
      <c r="M6" s="12"/>
    </row>
    <row r="7" spans="3:12" ht="15">
      <c r="C7" s="27"/>
      <c r="D7" s="61" t="s">
        <v>194</v>
      </c>
      <c r="E7" s="61"/>
      <c r="F7" s="61"/>
      <c r="G7" s="61"/>
      <c r="H7" s="61"/>
      <c r="I7" s="61"/>
      <c r="J7" s="61"/>
      <c r="K7" s="61"/>
      <c r="L7" s="61"/>
    </row>
    <row r="8" spans="3:12" ht="14.25">
      <c r="C8" s="27"/>
      <c r="D8" s="61" t="s">
        <v>294</v>
      </c>
      <c r="E8" s="61"/>
      <c r="F8" s="61"/>
      <c r="G8" s="61"/>
      <c r="H8" s="61"/>
      <c r="I8" s="61"/>
      <c r="J8" s="61"/>
      <c r="K8" s="61"/>
      <c r="L8" s="61"/>
    </row>
    <row r="9" spans="3:12" ht="14.25">
      <c r="C9" s="27"/>
      <c r="D9" s="192" t="s">
        <v>295</v>
      </c>
      <c r="E9" s="192"/>
      <c r="F9" s="192"/>
      <c r="G9" s="27"/>
      <c r="H9" s="61"/>
      <c r="I9" s="61"/>
      <c r="J9" s="61"/>
      <c r="K9" s="61"/>
      <c r="L9" s="61"/>
    </row>
    <row r="10" spans="3:12" ht="14.25">
      <c r="C10" s="27"/>
      <c r="D10" s="61" t="s">
        <v>289</v>
      </c>
      <c r="E10" s="61"/>
      <c r="F10" s="61"/>
      <c r="G10" s="27"/>
      <c r="H10" s="61"/>
      <c r="I10" s="61"/>
      <c r="J10" s="61"/>
      <c r="K10" s="61"/>
      <c r="L10" s="61"/>
    </row>
    <row r="11" spans="3:12" ht="14.25">
      <c r="C11" s="27"/>
      <c r="D11" s="61" t="s">
        <v>290</v>
      </c>
      <c r="E11" s="61"/>
      <c r="F11" s="61"/>
      <c r="G11" s="61"/>
      <c r="H11" s="61"/>
      <c r="I11" s="61"/>
      <c r="J11" s="61"/>
      <c r="K11" s="61"/>
      <c r="L11" s="61"/>
    </row>
    <row r="12" spans="3:13" ht="15">
      <c r="C12" s="27"/>
      <c r="D12" s="61" t="s">
        <v>195</v>
      </c>
      <c r="E12" s="61"/>
      <c r="F12" s="61"/>
      <c r="G12" s="61"/>
      <c r="H12" s="61"/>
      <c r="I12" s="61"/>
      <c r="J12" s="61"/>
      <c r="K12" s="61"/>
      <c r="L12" s="221"/>
      <c r="M12" s="12"/>
    </row>
    <row r="13" spans="3:12" ht="15" thickBot="1">
      <c r="C13" s="27"/>
      <c r="D13" s="61"/>
      <c r="E13" s="61"/>
      <c r="F13" s="61"/>
      <c r="G13" s="61"/>
      <c r="H13" s="61"/>
      <c r="I13" s="62"/>
      <c r="J13" s="62"/>
      <c r="K13" s="62"/>
      <c r="L13" s="221"/>
    </row>
    <row r="14" spans="1:13" ht="14.25">
      <c r="A14" s="4"/>
      <c r="B14" s="5"/>
      <c r="C14" s="26"/>
      <c r="D14" s="32"/>
      <c r="E14" s="32"/>
      <c r="F14" s="32"/>
      <c r="G14" s="32"/>
      <c r="I14" s="537" t="s">
        <v>8</v>
      </c>
      <c r="J14" s="527"/>
      <c r="K14" s="220">
        <f>IF(L14&lt;&gt;"","",'3 Förutsättningar'!F14)</f>
        <v>18303</v>
      </c>
      <c r="L14" s="221">
        <f>IF('3 Förutsättningar'!G14&lt;&gt;"",CONCATENATE('3 Förutsättningar'!G14," I BLAD 3"),"")</f>
      </c>
      <c r="M14" s="12"/>
    </row>
    <row r="15" spans="1:13" ht="15" thickBot="1">
      <c r="A15" s="4"/>
      <c r="B15" s="5"/>
      <c r="C15" s="26"/>
      <c r="D15" s="32"/>
      <c r="E15" s="32"/>
      <c r="F15" s="32"/>
      <c r="G15" s="32"/>
      <c r="I15" s="508" t="s">
        <v>121</v>
      </c>
      <c r="J15" s="509"/>
      <c r="K15" s="58">
        <f>IF(L15&lt;&gt;"","",'3 Förutsättningar'!F15)</f>
        <v>9</v>
      </c>
      <c r="L15" s="221">
        <f>IF('3 Förutsättningar'!G15&lt;&gt;"",CONCATENATE('3 Förutsättningar'!G15," I BLAD 3"),"")</f>
      </c>
      <c r="M15" s="12"/>
    </row>
    <row r="16" spans="1:13" ht="15" hidden="1" thickBot="1">
      <c r="A16" s="4"/>
      <c r="B16" s="5"/>
      <c r="C16" s="26"/>
      <c r="D16" s="32"/>
      <c r="E16" s="32"/>
      <c r="F16" s="32"/>
      <c r="G16" s="32"/>
      <c r="I16" s="545" t="s">
        <v>157</v>
      </c>
      <c r="J16" s="495"/>
      <c r="K16" s="443">
        <f>IF(L16&lt;&gt;"","",'3 Förutsättningar'!F16)</f>
        <v>1</v>
      </c>
      <c r="L16" s="221">
        <f>IF('3 Förutsättningar'!G16&lt;&gt;"",CONCATENATE('3 Förutsättningar'!G16," I BLAD 3"),"")</f>
      </c>
      <c r="M16" s="12"/>
    </row>
    <row r="17" spans="1:12" s="12" customFormat="1" ht="14.25">
      <c r="A17" s="4"/>
      <c r="B17" s="5"/>
      <c r="C17" s="26"/>
      <c r="D17" s="32"/>
      <c r="E17" s="32"/>
      <c r="F17" s="32"/>
      <c r="G17" s="32"/>
      <c r="H17" s="32"/>
      <c r="I17" s="88"/>
      <c r="J17"/>
      <c r="K17" s="442"/>
      <c r="L17" s="222" t="str">
        <f>IF(OR(E3="NAMN PÅ OMRÅDE SAKNAS I BLAD 3",E4="",H4="",J4="",L14&lt;&gt;"",L15&lt;&gt;"",L16&lt;&gt;"",H19&lt;&gt;"",E39=""),"FEL","")</f>
        <v>FEL</v>
      </c>
    </row>
    <row r="18" spans="1:12" s="12" customFormat="1" ht="15" thickBot="1">
      <c r="A18" s="4"/>
      <c r="B18" s="5"/>
      <c r="C18" s="26"/>
      <c r="D18" s="223" t="s">
        <v>69</v>
      </c>
      <c r="E18" s="223"/>
      <c r="F18" s="223"/>
      <c r="G18" s="90"/>
      <c r="H18" s="32"/>
      <c r="I18" s="223" t="s">
        <v>69</v>
      </c>
      <c r="J18" s="32"/>
      <c r="K18" s="32"/>
      <c r="L18" s="221"/>
    </row>
    <row r="19" spans="1:12" s="12" customFormat="1" ht="15" thickBot="1">
      <c r="A19" s="4"/>
      <c r="B19" s="5"/>
      <c r="C19" s="26"/>
      <c r="D19" s="544" t="s">
        <v>193</v>
      </c>
      <c r="E19" s="534"/>
      <c r="F19" s="224"/>
      <c r="G19" s="265">
        <v>10</v>
      </c>
      <c r="H19" s="221">
        <f>IF(G19="","INDATA SAKNAS",IF(OR(G19&lt;0,G19&gt;=100),"ORIMLIGT VÄRDE",""))</f>
      </c>
      <c r="I19" s="533" t="s">
        <v>70</v>
      </c>
      <c r="J19" s="534"/>
      <c r="K19" s="266">
        <f>IF(OR(D2&lt;&gt;"",L17&lt;&gt;"",H19&lt;&gt;""),"",G19)</f>
      </c>
      <c r="L19" s="221"/>
    </row>
    <row r="20" spans="1:12" s="12" customFormat="1" ht="15" thickBot="1">
      <c r="A20" s="4"/>
      <c r="B20" s="5"/>
      <c r="C20" s="26"/>
      <c r="D20" s="225"/>
      <c r="E20" s="225"/>
      <c r="F20" s="225"/>
      <c r="G20" s="225"/>
      <c r="H20" s="32"/>
      <c r="I20" s="225"/>
      <c r="J20" s="225"/>
      <c r="K20" s="225"/>
      <c r="L20" s="221"/>
    </row>
    <row r="21" spans="1:12" s="12" customFormat="1" ht="14.25">
      <c r="A21" s="4"/>
      <c r="B21" s="5"/>
      <c r="C21" s="26"/>
      <c r="D21" s="526" t="s">
        <v>206</v>
      </c>
      <c r="E21" s="527"/>
      <c r="F21" s="226"/>
      <c r="G21" s="120"/>
      <c r="H21" s="221">
        <f>IF(OR(AND(G21&lt;&gt;"",G21&lt;=0.2),G21&gt;=0.8),"ORIMLIGT VÄRDE","")</f>
      </c>
      <c r="I21" s="526" t="s">
        <v>206</v>
      </c>
      <c r="J21" s="527"/>
      <c r="K21" s="227">
        <f>IF(OR(D2&lt;&gt;"",L17&lt;&gt;"",H19&lt;&gt;""),"",IF(OR(G21=0,H21="ORIMLIGT VÄRDE"),Kod!$O$4,G21))</f>
      </c>
      <c r="L21" s="221"/>
    </row>
    <row r="22" spans="1:12" s="12" customFormat="1" ht="14.25">
      <c r="A22" s="4"/>
      <c r="B22" s="5"/>
      <c r="C22" s="26"/>
      <c r="D22" s="525" t="s">
        <v>72</v>
      </c>
      <c r="E22" s="486"/>
      <c r="F22" s="148"/>
      <c r="G22" s="98">
        <v>1</v>
      </c>
      <c r="H22" s="221">
        <f>IF(OR(AND(G22&lt;&gt;"",G22&lt;=0),G22&gt;=20),"ORIMLIGT VÄRDE","")</f>
      </c>
      <c r="I22" s="228" t="s">
        <v>72</v>
      </c>
      <c r="J22" s="148"/>
      <c r="K22" s="229">
        <f>IF(OR(D2&lt;&gt;"",L17&lt;&gt;"",H19&lt;&gt;""),"",IF(OR(G22=0,H22="ORIMLIGT VÄRDE"),Kod!$O$5,G22))</f>
      </c>
      <c r="L22" s="221"/>
    </row>
    <row r="23" spans="1:12" s="12" customFormat="1" ht="14.25">
      <c r="A23" s="4"/>
      <c r="B23" s="5"/>
      <c r="C23" s="26"/>
      <c r="D23" s="525" t="s">
        <v>205</v>
      </c>
      <c r="E23" s="486"/>
      <c r="F23" s="148"/>
      <c r="G23" s="100">
        <v>0.05</v>
      </c>
      <c r="H23" s="221">
        <f>IF(G23="","",IF(OR(AND(G23&lt;&gt;"",G23&lt;0),G23&gt;1-G24),"ORIMLIGT VÄRDE",""))</f>
      </c>
      <c r="I23" s="525" t="s">
        <v>205</v>
      </c>
      <c r="J23" s="486"/>
      <c r="K23" s="230">
        <f>IF(OR(D2&lt;&gt;"",L17&lt;&gt;"",H19&lt;&gt;""),"",IF(OR(G23=0,H23="ORIMLIGT VÄRDE"),Kod!$O$6,G23))</f>
      </c>
      <c r="L23" s="221"/>
    </row>
    <row r="24" spans="1:12" s="12" customFormat="1" ht="14.25">
      <c r="A24" s="231"/>
      <c r="B24" s="5"/>
      <c r="C24" s="26"/>
      <c r="D24" s="525" t="s">
        <v>203</v>
      </c>
      <c r="E24" s="486"/>
      <c r="F24" s="148"/>
      <c r="G24" s="100">
        <v>0.01</v>
      </c>
      <c r="H24" s="221">
        <f>IF(G24="","",IF(OR(AND(G24&lt;&gt;"",G24&lt;0),G24&gt;1-G23),"ORIMLIGT VÄRDE",""))</f>
      </c>
      <c r="I24" s="525" t="s">
        <v>203</v>
      </c>
      <c r="J24" s="486"/>
      <c r="K24" s="230">
        <f>IF(OR(D2&lt;&gt;"",L17&lt;&gt;"",H19&lt;&gt;""),"",IF(OR(G24=0,H24="ORIMLIGT VÄRDE"),Kod!$O$7,G24))</f>
      </c>
      <c r="L24" s="221"/>
    </row>
    <row r="25" spans="1:12" s="12" customFormat="1" ht="15" thickBot="1">
      <c r="A25" s="4"/>
      <c r="B25" s="5"/>
      <c r="C25" s="26"/>
      <c r="D25" s="528" t="s">
        <v>204</v>
      </c>
      <c r="E25" s="509"/>
      <c r="F25" s="232"/>
      <c r="G25" s="101"/>
      <c r="H25" s="221">
        <f>IF(OR(AND(G25&lt;&gt;"",G25&lt;0),G25&gt;1),"ORIMLIGT VÄRDE","")</f>
      </c>
      <c r="I25" s="528" t="s">
        <v>204</v>
      </c>
      <c r="J25" s="509"/>
      <c r="K25" s="233">
        <f>IF(OR(D2&lt;&gt;"",L17&lt;&gt;"",H19&lt;&gt;""),"",IF(OR(G25=0,H25="ORIMLIGT VÄRDE"),Kod!$O$8,G25))</f>
      </c>
      <c r="L25" s="221"/>
    </row>
    <row r="26" spans="1:12" s="12" customFormat="1" ht="14.25">
      <c r="A26" s="4"/>
      <c r="B26" s="5"/>
      <c r="C26" s="26"/>
      <c r="D26" s="84"/>
      <c r="E26" s="84"/>
      <c r="F26" s="84"/>
      <c r="G26" s="234"/>
      <c r="H26" s="221"/>
      <c r="I26" s="526" t="s">
        <v>76</v>
      </c>
      <c r="J26" s="527"/>
      <c r="K26" s="235">
        <f>IF(OR(D2&lt;&gt;"",L17&lt;&gt;"",H19&lt;&gt;""),"",G19*K14/100000)</f>
      </c>
      <c r="L26" s="221"/>
    </row>
    <row r="27" spans="1:12" s="12" customFormat="1" ht="14.25">
      <c r="A27" s="4"/>
      <c r="B27" s="5"/>
      <c r="C27" s="26"/>
      <c r="D27" s="32"/>
      <c r="E27" s="32"/>
      <c r="F27" s="32"/>
      <c r="G27" s="32"/>
      <c r="H27" s="32"/>
      <c r="I27" s="525" t="s">
        <v>118</v>
      </c>
      <c r="J27" s="486"/>
      <c r="K27" s="235">
        <f>IF(OR(D2&lt;&gt;"",L17&lt;&gt;"",H19&lt;&gt;""),"",ROUND(K26*K21*K22*(1-K23-K24),0))</f>
      </c>
      <c r="L27" s="221"/>
    </row>
    <row r="28" spans="1:12" s="12" customFormat="1" ht="14.25">
      <c r="A28" s="4"/>
      <c r="B28" s="5"/>
      <c r="C28" s="26"/>
      <c r="D28" s="32"/>
      <c r="E28" s="32"/>
      <c r="F28" s="32"/>
      <c r="G28" s="32"/>
      <c r="H28" s="32"/>
      <c r="I28" s="525" t="s">
        <v>77</v>
      </c>
      <c r="J28" s="486"/>
      <c r="K28" s="236">
        <f>IF(OR(D2&lt;&gt;"",L17&lt;&gt;"",H19&lt;&gt;""),"",ROUND(K26*K21*K22*K24,0))</f>
      </c>
      <c r="L28" s="221"/>
    </row>
    <row r="29" spans="1:12" s="12" customFormat="1" ht="14.25">
      <c r="A29" s="4"/>
      <c r="B29" s="5"/>
      <c r="C29" s="26"/>
      <c r="D29" s="32"/>
      <c r="E29" s="32"/>
      <c r="F29" s="32"/>
      <c r="G29" s="32"/>
      <c r="H29" s="32"/>
      <c r="I29" s="525" t="s">
        <v>78</v>
      </c>
      <c r="J29" s="486"/>
      <c r="K29" s="236">
        <f>IF(OR(D2&lt;&gt;"",L17&lt;&gt;"",H19&lt;&gt;""),"",ROUND(K26*K21*K22*K23,0))</f>
      </c>
      <c r="L29" s="221"/>
    </row>
    <row r="30" spans="1:12" s="12" customFormat="1" ht="15" thickBot="1">
      <c r="A30" s="4"/>
      <c r="B30" s="5"/>
      <c r="C30" s="26"/>
      <c r="D30" s="32"/>
      <c r="E30" s="32"/>
      <c r="F30" s="32"/>
      <c r="G30" s="32"/>
      <c r="H30" s="32"/>
      <c r="I30" s="528" t="s">
        <v>115</v>
      </c>
      <c r="J30" s="509"/>
      <c r="K30" s="237">
        <f>IF(OR(D2&lt;&gt;"",L17&lt;&gt;"",H19&lt;&gt;""),"",ROUND(K29*(1-K25),0))</f>
      </c>
      <c r="L30" s="221"/>
    </row>
    <row r="31" spans="1:12" s="12" customFormat="1" ht="14.25">
      <c r="A31" s="4"/>
      <c r="B31" s="5"/>
      <c r="C31" s="26"/>
      <c r="D31" s="32"/>
      <c r="E31" s="32"/>
      <c r="F31" s="32"/>
      <c r="G31" s="32"/>
      <c r="I31" s="84"/>
      <c r="J31"/>
      <c r="K31" s="444"/>
      <c r="L31" s="221"/>
    </row>
    <row r="32" spans="1:9" s="32" customFormat="1" ht="14.25">
      <c r="A32" s="4"/>
      <c r="B32" s="5"/>
      <c r="C32" s="26"/>
      <c r="D32" s="238" t="s">
        <v>46</v>
      </c>
      <c r="E32" s="238"/>
      <c r="G32" s="239"/>
      <c r="I32" s="238" t="s">
        <v>46</v>
      </c>
    </row>
    <row r="33" spans="1:11" ht="34.5" thickBot="1">
      <c r="A33" s="4"/>
      <c r="B33" s="5"/>
      <c r="C33" s="26"/>
      <c r="D33" s="240" t="s">
        <v>106</v>
      </c>
      <c r="E33" s="241" t="s">
        <v>202</v>
      </c>
      <c r="F33" s="32"/>
      <c r="G33" s="241" t="s">
        <v>240</v>
      </c>
      <c r="H33" s="12"/>
      <c r="I33" s="240" t="s">
        <v>106</v>
      </c>
      <c r="J33" s="241" t="s">
        <v>202</v>
      </c>
      <c r="K33" s="241" t="s">
        <v>240</v>
      </c>
    </row>
    <row r="34" spans="1:11" ht="14.25">
      <c r="A34" s="4"/>
      <c r="B34" s="5"/>
      <c r="C34" s="26"/>
      <c r="D34" s="146"/>
      <c r="E34" s="184"/>
      <c r="F34" s="242">
        <f>IF(AND(D34&lt;&gt;"",E34=""),"INDATA SAKNAS",IF(AND(D34&lt;&gt;"",OR(E34&lt;0,E34&gt;1)),"ORIMLIGT VÄRDE",IF(AND(D34="",E34&lt;&gt;""),"ID SAKNAS","")))</f>
      </c>
      <c r="G34" s="188"/>
      <c r="H34" s="221">
        <f>IF(G34="","",IF(OR(G34&lt;0,G34&gt;160),"ORIMLIGT VÄRDE",IF(AND(OR(E34="",F34&lt;&gt;""),G34&lt;&gt;""),"FELAKTIGT VÄRDE","")))</f>
      </c>
      <c r="I34" s="243">
        <f aca="true" t="shared" si="0" ref="I34:J38">IF(AND(D34&lt;&gt;"",$E$39&lt;&gt;""),D34,"")</f>
      </c>
      <c r="J34" s="244">
        <f t="shared" si="0"/>
      </c>
      <c r="K34" s="245">
        <f>IF(AND(G34&lt;&gt;"",$G$39&lt;&gt;""),G34,"")</f>
      </c>
    </row>
    <row r="35" spans="1:11" ht="14.25">
      <c r="A35" s="4"/>
      <c r="B35" s="5"/>
      <c r="C35" s="26"/>
      <c r="D35" s="147"/>
      <c r="E35" s="184"/>
      <c r="F35" s="242">
        <f>IF(AND(D35&lt;&gt;"",E35=""),"INDATA SAKNAS",IF(AND(D35&lt;&gt;"",OR(E35&lt;0,E35&gt;1)),"ORIMLIGT VÄRDE",IF(AND(D35="",E35&lt;&gt;""),"ID SAKNAS","")))</f>
      </c>
      <c r="G35" s="189"/>
      <c r="H35" s="221">
        <f>IF(G35="","",IF(OR(G35&lt;0,G35&gt;160),"ORIMLIGT VÄRDE",IF(AND(OR(E35="",F35&lt;&gt;""),G35&lt;&gt;""),"FELAKTIGT VÄRDE","")))</f>
      </c>
      <c r="I35" s="243">
        <f t="shared" si="0"/>
      </c>
      <c r="J35" s="244">
        <f t="shared" si="0"/>
      </c>
      <c r="K35" s="245">
        <f>IF(AND(G35&lt;&gt;"",$G$39&lt;&gt;""),G35,"")</f>
      </c>
    </row>
    <row r="36" spans="1:11" ht="14.25">
      <c r="A36" s="4"/>
      <c r="B36" s="5"/>
      <c r="C36" s="26"/>
      <c r="D36" s="147"/>
      <c r="E36" s="184"/>
      <c r="F36" s="242">
        <f>IF(AND(D36&lt;&gt;"",E36=""),"INDATA SAKNAS",IF(AND(D36&lt;&gt;"",OR(E36&lt;0,E36&gt;1)),"ORIMLIGT VÄRDE",IF(AND(D36="",E36&lt;&gt;""),"ID SAKNAS","")))</f>
      </c>
      <c r="G36" s="189"/>
      <c r="H36" s="221">
        <f>IF(G36="","",IF(OR(G36&lt;0,G36&gt;160),"ORIMLIGT VÄRDE",IF(AND(OR(E36="",F36&lt;&gt;""),G36&lt;&gt;""),"FELAKTIGT VÄRDE","")))</f>
      </c>
      <c r="I36" s="243">
        <f t="shared" si="0"/>
      </c>
      <c r="J36" s="244">
        <f t="shared" si="0"/>
      </c>
      <c r="K36" s="245">
        <f>IF(AND(G36&lt;&gt;"",$G$39&lt;&gt;""),G36,"")</f>
      </c>
    </row>
    <row r="37" spans="1:11" ht="14.25">
      <c r="A37" s="4"/>
      <c r="B37" s="5"/>
      <c r="C37" s="26"/>
      <c r="D37" s="147"/>
      <c r="E37" s="184"/>
      <c r="F37" s="242">
        <f>IF(AND(D37&lt;&gt;"",E37=""),"INDATA SAKNAS",IF(AND(D37&lt;&gt;"",OR(E37&lt;0,E37&gt;1)),"ORIMLIGT VÄRDE",IF(AND(D37="",E37&lt;&gt;""),"ID SAKNAS","")))</f>
      </c>
      <c r="G37" s="190"/>
      <c r="H37" s="221">
        <f>IF(G37="","",IF(OR(G37&lt;0,G37&gt;160),"ORIMLIGT VÄRDE",IF(AND(OR(E37="",F37&lt;&gt;""),G37&lt;&gt;""),"FELAKTIGT VÄRDE","")))</f>
      </c>
      <c r="I37" s="243">
        <f t="shared" si="0"/>
      </c>
      <c r="J37" s="244">
        <f t="shared" si="0"/>
      </c>
      <c r="K37" s="245">
        <f>IF(AND(G37&lt;&gt;"",$G$39&lt;&gt;""),G37,"")</f>
      </c>
    </row>
    <row r="38" spans="1:11" ht="15" thickBot="1">
      <c r="A38" s="4"/>
      <c r="B38" s="5"/>
      <c r="C38" s="26"/>
      <c r="D38" s="145"/>
      <c r="E38" s="185"/>
      <c r="F38" s="242">
        <f>IF(AND(D38&lt;&gt;"",E38=""),"INDATA SAKNAS",IF(AND(D38&lt;&gt;"",OR(E38&lt;0,E38&gt;1)),"ORIMLIGT VÄRDE",IF(AND(D38="",E38&lt;&gt;""),"ID SAKNAS","")))</f>
      </c>
      <c r="G38" s="271"/>
      <c r="H38" s="221">
        <f>IF(G38="","",IF(OR(G38&lt;0,G38&gt;160),"ORIMLIGT VÄRDE",IF(AND(OR(E38="",F38&lt;&gt;""),G38&lt;&gt;""),"FELAKTIGT VÄRDE","")))</f>
      </c>
      <c r="I38" s="246">
        <f t="shared" si="0"/>
      </c>
      <c r="J38" s="244">
        <f t="shared" si="0"/>
      </c>
      <c r="K38" s="245">
        <f>IF(AND(G38&lt;&gt;"",$G$39&lt;&gt;""),G38,"")</f>
      </c>
    </row>
    <row r="39" spans="1:13" ht="15" thickBot="1">
      <c r="A39" s="4"/>
      <c r="B39" s="5"/>
      <c r="C39" s="26"/>
      <c r="D39" s="247" t="s">
        <v>13</v>
      </c>
      <c r="E39" s="248">
        <f>IF(OR(F34&lt;&gt;"",F35&lt;&gt;"",F36&lt;&gt;"",F37&lt;&gt;"",F38&lt;&gt;"",SUM($E$34:$E$38)&lt;0),"",SUM($E$34:$E$38))</f>
        <v>0</v>
      </c>
      <c r="F39" s="242"/>
      <c r="G39" s="249">
        <f>IF(OR(COUNT(E34:E38)&lt;&gt;COUNT(G34:G38),OR(H34&lt;&gt;"",H35&lt;&gt;"",H36&lt;&gt;"",H37&lt;&gt;"",H38&lt;&gt;""),SUM($E$34:$E$38)=0),"",SUMPRODUCT(G34:G38,E34:E38)/SUM(E34:E38))</f>
      </c>
      <c r="H39" s="12"/>
      <c r="I39" s="247" t="s">
        <v>13</v>
      </c>
      <c r="J39" s="250">
        <f>IF(E39&lt;&gt;"",E39,"")</f>
        <v>0</v>
      </c>
      <c r="K39" s="251">
        <f>IF(TYPE(IF(E39="","",IF(G39="",Kod!$O$27,G39)))=16,"",IF(E39="","",IF(G39="",Kod!$O$27,G39)))</f>
        <v>120</v>
      </c>
      <c r="L39" s="447">
        <f>IF(K39&lt;&gt;"","","SAKNAS")</f>
      </c>
      <c r="M39" s="12"/>
    </row>
    <row r="40" spans="1:11" ht="15" thickBot="1">
      <c r="A40" s="4"/>
      <c r="B40" s="5"/>
      <c r="C40" s="26"/>
      <c r="D40" s="247"/>
      <c r="E40" s="252"/>
      <c r="F40" s="253"/>
      <c r="G40" s="247"/>
      <c r="H40" s="84"/>
      <c r="I40" s="90"/>
      <c r="J40" s="90"/>
      <c r="K40" s="90"/>
    </row>
    <row r="41" spans="1:11" ht="14.25">
      <c r="A41" s="4"/>
      <c r="B41" s="5"/>
      <c r="C41" s="26"/>
      <c r="D41" s="525" t="s">
        <v>205</v>
      </c>
      <c r="E41" s="530"/>
      <c r="F41" s="226"/>
      <c r="G41" s="100"/>
      <c r="H41" s="221">
        <f>IF(OR(AND(G41&lt;&gt;"",G41&lt;0),G41&gt;1-G42),"ORIMLIGT VÄRDE","")</f>
      </c>
      <c r="I41" s="525" t="s">
        <v>205</v>
      </c>
      <c r="J41" s="486"/>
      <c r="K41" s="254">
        <f>IF(OR(D2&lt;&gt;"",L17&lt;&gt;"",L39&lt;&gt;""),"",IF(OR(G41=0,H41="ORIMLIGT VÄRDE"),Kod!$O$28,G41))</f>
      </c>
    </row>
    <row r="42" spans="1:11" ht="14.25">
      <c r="A42" s="4"/>
      <c r="B42" s="5"/>
      <c r="C42" s="26"/>
      <c r="D42" s="525" t="s">
        <v>203</v>
      </c>
      <c r="E42" s="486"/>
      <c r="F42" s="148"/>
      <c r="G42" s="100"/>
      <c r="H42" s="221">
        <f>IF(OR(AND(G42&lt;&gt;"",G42&lt;0),G42&gt;1-G41),"ORIMLIGT VÄRDE","")</f>
      </c>
      <c r="I42" s="525" t="s">
        <v>203</v>
      </c>
      <c r="J42" s="486"/>
      <c r="K42" s="254">
        <f>IF(OR(D2&lt;&gt;"",L17&lt;&gt;"",L39&lt;&gt;""),"",IF(OR(G42=0,H42="ORIMLIGT VÄRDE"),Kod!$O$29,G42))</f>
      </c>
    </row>
    <row r="43" spans="1:11" ht="15" thickBot="1">
      <c r="A43" s="4"/>
      <c r="B43" s="5"/>
      <c r="C43" s="26"/>
      <c r="D43" s="528" t="s">
        <v>204</v>
      </c>
      <c r="E43" s="509"/>
      <c r="F43" s="232"/>
      <c r="G43" s="101"/>
      <c r="H43" s="221">
        <f>IF(OR(AND(G43&lt;&gt;"",G43&lt;0),G43&gt;1),"ORIMLIGT VÄRDE","")</f>
      </c>
      <c r="I43" s="528" t="s">
        <v>204</v>
      </c>
      <c r="J43" s="509"/>
      <c r="K43" s="233">
        <f>IF(OR(D2&lt;&gt;"",L17&lt;&gt;"",L39&lt;&gt;""),"",IF(OR(G43=0,H43="ORIMLIGT VÄRDE"),Kod!$O$31,G43))</f>
      </c>
    </row>
    <row r="44" spans="1:11" ht="14.25">
      <c r="A44" s="4"/>
      <c r="B44" s="5"/>
      <c r="C44" s="26"/>
      <c r="D44" s="32"/>
      <c r="E44" s="32"/>
      <c r="F44" s="32"/>
      <c r="G44" s="32"/>
      <c r="I44" s="526" t="s">
        <v>79</v>
      </c>
      <c r="J44" s="527"/>
      <c r="K44" s="235">
        <f>IF(OR(D2&lt;&gt;"",L17&lt;&gt;"",L39&lt;&gt;""),"",ROUND(J39*K39*(1-K41-K42),0))</f>
      </c>
    </row>
    <row r="45" spans="1:11" ht="14.25">
      <c r="A45" s="4"/>
      <c r="B45" s="5"/>
      <c r="C45" s="26"/>
      <c r="D45" s="32"/>
      <c r="E45" s="32"/>
      <c r="F45" s="32"/>
      <c r="G45" s="32"/>
      <c r="I45" s="525" t="s">
        <v>80</v>
      </c>
      <c r="J45" s="486"/>
      <c r="K45" s="235">
        <f>IF(OR(D2&lt;&gt;"",L17&lt;&gt;"",L39&lt;&gt;""),"",ROUND(J39*K39*K42,0))</f>
      </c>
    </row>
    <row r="46" spans="1:11" ht="14.25">
      <c r="A46" s="4"/>
      <c r="B46" s="5"/>
      <c r="C46" s="26"/>
      <c r="D46" s="32"/>
      <c r="E46" s="32"/>
      <c r="F46" s="32"/>
      <c r="G46" s="32"/>
      <c r="I46" s="525" t="s">
        <v>81</v>
      </c>
      <c r="J46" s="486"/>
      <c r="K46" s="229">
        <f>IF(OR(D2&lt;&gt;"",L17&lt;&gt;"",L39&lt;&gt;""),"",ROUND($J$39*$K$39*$K$41,0))</f>
      </c>
    </row>
    <row r="47" spans="1:11" ht="15" thickBot="1">
      <c r="A47" s="4"/>
      <c r="B47" s="5"/>
      <c r="C47" s="26"/>
      <c r="D47" s="32"/>
      <c r="E47" s="32"/>
      <c r="F47" s="32"/>
      <c r="G47" s="32"/>
      <c r="I47" s="528" t="s">
        <v>114</v>
      </c>
      <c r="J47" s="509"/>
      <c r="K47" s="255">
        <f>IF(OR(D2&lt;&gt;"",L17&lt;&gt;"",L39&lt;&gt;""),"",ROUND($K$46*(1-$K$43),0))</f>
      </c>
    </row>
    <row r="48" spans="1:11" ht="14.25">
      <c r="A48" s="4"/>
      <c r="B48" s="5"/>
      <c r="C48" s="26"/>
      <c r="D48" s="32"/>
      <c r="E48" s="32"/>
      <c r="F48" s="32"/>
      <c r="G48" s="32"/>
      <c r="I48" s="84"/>
      <c r="J48"/>
      <c r="K48" s="256"/>
    </row>
    <row r="49" spans="1:11" s="32" customFormat="1" ht="15.75" thickBot="1">
      <c r="A49" s="4"/>
      <c r="B49" s="5"/>
      <c r="C49" s="38"/>
      <c r="D49" s="257" t="s">
        <v>13</v>
      </c>
      <c r="E49" s="257"/>
      <c r="F49" s="257"/>
      <c r="G49" s="90"/>
      <c r="I49" s="257" t="s">
        <v>13</v>
      </c>
      <c r="J49" s="257"/>
      <c r="K49" s="90"/>
    </row>
    <row r="50" spans="1:11" s="32" customFormat="1" ht="15">
      <c r="A50" s="4"/>
      <c r="B50" s="5"/>
      <c r="C50" s="38"/>
      <c r="D50" s="529" t="s">
        <v>82</v>
      </c>
      <c r="E50" s="530"/>
      <c r="F50" s="226"/>
      <c r="G50" s="211">
        <f>IF(OR(K27="",K44=""),"",(K27+K44))</f>
      </c>
      <c r="I50" s="529" t="s">
        <v>82</v>
      </c>
      <c r="J50" s="530"/>
      <c r="K50" s="258">
        <f>G50</f>
      </c>
    </row>
    <row r="51" spans="1:12" s="32" customFormat="1" ht="15">
      <c r="A51" s="4"/>
      <c r="B51" s="5"/>
      <c r="C51" s="38"/>
      <c r="D51" s="532" t="s">
        <v>83</v>
      </c>
      <c r="E51" s="486"/>
      <c r="F51" s="148"/>
      <c r="G51" s="212">
        <f>IF(OR(K28="",K45=""),"",(K28+K45))</f>
      </c>
      <c r="I51" s="532" t="s">
        <v>83</v>
      </c>
      <c r="J51" s="486"/>
      <c r="K51" s="259">
        <f>G51</f>
      </c>
      <c r="L51" s="260"/>
    </row>
    <row r="52" spans="1:11" s="32" customFormat="1" ht="15.75" thickBot="1">
      <c r="A52" s="4"/>
      <c r="B52" s="5"/>
      <c r="C52" s="38"/>
      <c r="D52" s="531" t="s">
        <v>113</v>
      </c>
      <c r="E52" s="509"/>
      <c r="F52" s="261"/>
      <c r="G52" s="213">
        <f>IF(OR(K30="",K47=""),"",(K30+K47))</f>
      </c>
      <c r="I52" s="531" t="s">
        <v>113</v>
      </c>
      <c r="J52" s="509"/>
      <c r="K52" s="262">
        <f>G52</f>
      </c>
    </row>
    <row r="53" spans="1:3" s="32" customFormat="1" ht="15">
      <c r="A53" s="4"/>
      <c r="B53" s="5"/>
      <c r="C53" s="38"/>
    </row>
    <row r="54" spans="1:11" s="32" customFormat="1" ht="15">
      <c r="A54" s="4"/>
      <c r="B54" s="5"/>
      <c r="C54" s="38"/>
      <c r="D54" s="38" t="s">
        <v>120</v>
      </c>
      <c r="E54" s="38"/>
      <c r="F54" s="38"/>
      <c r="G54" s="38"/>
      <c r="H54" s="38"/>
      <c r="I54" s="38"/>
      <c r="J54" s="38"/>
      <c r="K54" s="38"/>
    </row>
    <row r="55" spans="1:14" s="32" customFormat="1" ht="19.5" customHeight="1">
      <c r="A55" s="4"/>
      <c r="B55" s="5"/>
      <c r="C55" s="38"/>
      <c r="D55" s="505"/>
      <c r="E55" s="510"/>
      <c r="F55" s="510"/>
      <c r="G55" s="506"/>
      <c r="H55" s="506"/>
      <c r="I55" s="506"/>
      <c r="J55" s="506"/>
      <c r="K55" s="506"/>
      <c r="L55" s="263"/>
      <c r="N55" s="150"/>
    </row>
    <row r="56" spans="1:14" s="32" customFormat="1" ht="19.5" customHeight="1">
      <c r="A56" s="4"/>
      <c r="B56" s="5"/>
      <c r="C56" s="38"/>
      <c r="D56" s="505"/>
      <c r="E56" s="510"/>
      <c r="F56" s="510"/>
      <c r="G56" s="506"/>
      <c r="H56" s="506"/>
      <c r="I56" s="506"/>
      <c r="J56" s="506"/>
      <c r="K56" s="506"/>
      <c r="L56" s="263"/>
      <c r="N56" s="151"/>
    </row>
    <row r="57" spans="1:14" s="32" customFormat="1" ht="19.5" customHeight="1">
      <c r="A57" s="4"/>
      <c r="B57" s="5"/>
      <c r="C57" s="38"/>
      <c r="D57" s="505"/>
      <c r="E57" s="510"/>
      <c r="F57" s="510"/>
      <c r="G57" s="506"/>
      <c r="H57" s="506"/>
      <c r="I57" s="506"/>
      <c r="J57" s="506"/>
      <c r="K57" s="506"/>
      <c r="L57" s="263"/>
      <c r="N57" s="150"/>
    </row>
    <row r="58" spans="1:14" s="32" customFormat="1" ht="15">
      <c r="A58" s="4"/>
      <c r="B58" s="5"/>
      <c r="C58" s="38"/>
      <c r="D58" s="214"/>
      <c r="E58" s="214"/>
      <c r="F58" s="214"/>
      <c r="G58" s="214"/>
      <c r="H58" s="214"/>
      <c r="I58" s="214"/>
      <c r="J58" s="214"/>
      <c r="K58" s="214"/>
      <c r="L58" s="26"/>
      <c r="N58"/>
    </row>
    <row r="59" spans="1:14" s="32" customFormat="1" ht="15">
      <c r="A59" s="4"/>
      <c r="B59" s="5"/>
      <c r="C59" s="38"/>
      <c r="D59" s="214"/>
      <c r="E59" s="214"/>
      <c r="F59" s="214"/>
      <c r="G59" s="214"/>
      <c r="H59" s="214"/>
      <c r="I59" s="214"/>
      <c r="J59" s="214"/>
      <c r="K59" s="214"/>
      <c r="L59" s="26"/>
      <c r="N59"/>
    </row>
    <row r="60" spans="1:3" s="32" customFormat="1" ht="15">
      <c r="A60" s="4"/>
      <c r="B60" s="5"/>
      <c r="C60" s="38"/>
    </row>
    <row r="61" spans="1:7" ht="15">
      <c r="A61" s="4"/>
      <c r="B61" s="5"/>
      <c r="D61" s="32"/>
      <c r="E61" s="32"/>
      <c r="F61" s="32"/>
      <c r="G61" s="32"/>
    </row>
    <row r="62" spans="1:7" ht="15">
      <c r="A62" s="4"/>
      <c r="B62" s="5"/>
      <c r="D62" s="32"/>
      <c r="E62" s="32"/>
      <c r="F62" s="32"/>
      <c r="G62" s="32"/>
    </row>
    <row r="63" spans="4:7" ht="15" hidden="1">
      <c r="D63" s="32"/>
      <c r="E63" s="32"/>
      <c r="F63" s="32"/>
      <c r="G63" s="32"/>
    </row>
    <row r="64" spans="4:7" ht="15" hidden="1">
      <c r="D64" s="32"/>
      <c r="E64" s="32"/>
      <c r="F64" s="32"/>
      <c r="G64" s="32"/>
    </row>
    <row r="65" spans="4:7" ht="15" hidden="1">
      <c r="D65" s="32"/>
      <c r="E65" s="32"/>
      <c r="F65" s="32"/>
      <c r="G65" s="32"/>
    </row>
    <row r="66" spans="4:7" ht="15" hidden="1">
      <c r="D66" s="32"/>
      <c r="E66" s="32"/>
      <c r="F66" s="32"/>
      <c r="G66" s="32"/>
    </row>
    <row r="67" spans="4:7" ht="15" hidden="1">
      <c r="D67" s="32"/>
      <c r="E67" s="32"/>
      <c r="F67" s="32"/>
      <c r="G67" s="32"/>
    </row>
    <row r="68" spans="4:7" ht="15" hidden="1">
      <c r="D68" s="32"/>
      <c r="E68" s="32"/>
      <c r="F68" s="32"/>
      <c r="G68" s="32"/>
    </row>
    <row r="69" spans="4:7" ht="15" hidden="1">
      <c r="D69" s="32"/>
      <c r="E69" s="32"/>
      <c r="F69" s="32"/>
      <c r="G69" s="32"/>
    </row>
    <row r="70" spans="4:7" ht="15" hidden="1">
      <c r="D70" s="32"/>
      <c r="E70" s="32"/>
      <c r="F70" s="32"/>
      <c r="G70" s="32"/>
    </row>
    <row r="71" spans="4:7" ht="15" hidden="1">
      <c r="D71" s="32"/>
      <c r="E71" s="32"/>
      <c r="F71" s="32"/>
      <c r="G71" s="32"/>
    </row>
    <row r="72" spans="4:7" ht="15" hidden="1">
      <c r="D72" s="32"/>
      <c r="E72" s="32"/>
      <c r="F72" s="32"/>
      <c r="G72" s="32"/>
    </row>
    <row r="73" spans="4:7" ht="15" hidden="1">
      <c r="D73" s="32"/>
      <c r="E73" s="32"/>
      <c r="F73" s="32"/>
      <c r="G73" s="32"/>
    </row>
  </sheetData>
  <sheetProtection sheet="1" selectLockedCells="1"/>
  <mergeCells count="44">
    <mergeCell ref="I29:J29"/>
    <mergeCell ref="I30:J30"/>
    <mergeCell ref="I41:J41"/>
    <mergeCell ref="D41:E41"/>
    <mergeCell ref="I16:J16"/>
    <mergeCell ref="D21:E21"/>
    <mergeCell ref="D1:K1"/>
    <mergeCell ref="E3:K3"/>
    <mergeCell ref="J4:K4"/>
    <mergeCell ref="D19:E19"/>
    <mergeCell ref="D22:E22"/>
    <mergeCell ref="I21:J21"/>
    <mergeCell ref="I15:J15"/>
    <mergeCell ref="D25:E25"/>
    <mergeCell ref="I19:J19"/>
    <mergeCell ref="E4:F4"/>
    <mergeCell ref="E5:F5"/>
    <mergeCell ref="G5:K5"/>
    <mergeCell ref="I14:J14"/>
    <mergeCell ref="D24:E24"/>
    <mergeCell ref="D23:E23"/>
    <mergeCell ref="D57:K57"/>
    <mergeCell ref="D52:E52"/>
    <mergeCell ref="I51:J51"/>
    <mergeCell ref="I52:J52"/>
    <mergeCell ref="D55:K55"/>
    <mergeCell ref="D51:E51"/>
    <mergeCell ref="D56:K56"/>
    <mergeCell ref="I47:J47"/>
    <mergeCell ref="D50:E50"/>
    <mergeCell ref="I46:J46"/>
    <mergeCell ref="D42:E42"/>
    <mergeCell ref="I45:J45"/>
    <mergeCell ref="I44:J44"/>
    <mergeCell ref="D43:E43"/>
    <mergeCell ref="I43:J43"/>
    <mergeCell ref="I42:J42"/>
    <mergeCell ref="I50:J50"/>
    <mergeCell ref="I28:J28"/>
    <mergeCell ref="I26:J26"/>
    <mergeCell ref="I27:J27"/>
    <mergeCell ref="I23:J23"/>
    <mergeCell ref="I24:J24"/>
    <mergeCell ref="I25:J25"/>
  </mergeCells>
  <conditionalFormatting sqref="G19">
    <cfRule type="expression" priority="121" dxfId="72" stopIfTrue="1">
      <formula>$H$19=""</formula>
    </cfRule>
  </conditionalFormatting>
  <conditionalFormatting sqref="E35">
    <cfRule type="expression" priority="154" dxfId="77" stopIfTrue="1">
      <formula>AND($F$35="",$D$35&lt;&gt;"")</formula>
    </cfRule>
    <cfRule type="expression" priority="155" dxfId="78" stopIfTrue="1">
      <formula>OR($D$35&lt;&gt;"",$F$35&lt;&gt;"")</formula>
    </cfRule>
    <cfRule type="expression" priority="157" dxfId="77" stopIfTrue="1">
      <formula>AND($E$35&gt;0,$D$35="")</formula>
    </cfRule>
  </conditionalFormatting>
  <conditionalFormatting sqref="G34">
    <cfRule type="expression" priority="29" dxfId="79" stopIfTrue="1">
      <formula>E34&lt;&gt;""</formula>
    </cfRule>
  </conditionalFormatting>
  <conditionalFormatting sqref="G35">
    <cfRule type="expression" priority="28" dxfId="79" stopIfTrue="1">
      <formula>E35&lt;&gt;""</formula>
    </cfRule>
  </conditionalFormatting>
  <conditionalFormatting sqref="G36">
    <cfRule type="expression" priority="27" dxfId="79" stopIfTrue="1">
      <formula>E36&lt;&gt;""</formula>
    </cfRule>
  </conditionalFormatting>
  <conditionalFormatting sqref="G37">
    <cfRule type="expression" priority="26" dxfId="79" stopIfTrue="1">
      <formula>E37&lt;&gt;""</formula>
    </cfRule>
  </conditionalFormatting>
  <conditionalFormatting sqref="G38">
    <cfRule type="expression" priority="25" dxfId="79" stopIfTrue="1">
      <formula>E38&lt;&gt;""</formula>
    </cfRule>
  </conditionalFormatting>
  <conditionalFormatting sqref="E34">
    <cfRule type="expression" priority="22" dxfId="77" stopIfTrue="1">
      <formula>AND($F$34="",$D$34&lt;&gt;"")</formula>
    </cfRule>
    <cfRule type="expression" priority="23" dxfId="78" stopIfTrue="1">
      <formula>OR($D$34&lt;&gt;"",$F$34&lt;&gt;"")</formula>
    </cfRule>
    <cfRule type="expression" priority="24" dxfId="77" stopIfTrue="1">
      <formula>AND($E$34&gt;0,$D$34="")</formula>
    </cfRule>
  </conditionalFormatting>
  <conditionalFormatting sqref="E36">
    <cfRule type="expression" priority="19" dxfId="77" stopIfTrue="1">
      <formula>AND($F$36="",$D$36&lt;&gt;"")</formula>
    </cfRule>
    <cfRule type="expression" priority="20" dxfId="78" stopIfTrue="1">
      <formula>OR($D$36&lt;&gt;"",$F$36&lt;&gt;"")</formula>
    </cfRule>
    <cfRule type="expression" priority="21" dxfId="77" stopIfTrue="1">
      <formula>AND($E$36&gt;0,$D$36="")</formula>
    </cfRule>
  </conditionalFormatting>
  <conditionalFormatting sqref="E37">
    <cfRule type="expression" priority="16" dxfId="77" stopIfTrue="1">
      <formula>AND($F$37="",$D$37&lt;&gt;"")</formula>
    </cfRule>
    <cfRule type="expression" priority="17" dxfId="78" stopIfTrue="1">
      <formula>OR($D$37&lt;&gt;"",$F$37&lt;&gt;"")</formula>
    </cfRule>
    <cfRule type="expression" priority="18" dxfId="77" stopIfTrue="1">
      <formula>AND($E$37&gt;0,$D$37="")</formula>
    </cfRule>
  </conditionalFormatting>
  <conditionalFormatting sqref="E38">
    <cfRule type="expression" priority="13" dxfId="77" stopIfTrue="1">
      <formula>AND($F$38="",$D$38&lt;&gt;"")</formula>
    </cfRule>
    <cfRule type="expression" priority="14" dxfId="78" stopIfTrue="1">
      <formula>OR($D$38&lt;&gt;"",$F$38&lt;&gt;"")</formula>
    </cfRule>
    <cfRule type="expression" priority="15" dxfId="77" stopIfTrue="1">
      <formula>AND($E$38&gt;0,$D$38="")</formula>
    </cfRule>
  </conditionalFormatting>
  <conditionalFormatting sqref="E4:F4">
    <cfRule type="expression" priority="3" dxfId="69" stopIfTrue="1">
      <formula>$E$4&lt;&gt;""</formula>
    </cfRule>
  </conditionalFormatting>
  <conditionalFormatting sqref="H4">
    <cfRule type="expression" priority="2" dxfId="70" stopIfTrue="1">
      <formula>$H$4&lt;&gt;""</formula>
    </cfRule>
  </conditionalFormatting>
  <conditionalFormatting sqref="J4:K4">
    <cfRule type="expression" priority="1" dxfId="69" stopIfTrue="1">
      <formula>$J$4&lt;&gt;""</formula>
    </cfRule>
  </conditionalFormatting>
  <printOptions/>
  <pageMargins left="0.7086614173228347" right="0.7086614173228347" top="0.7480314960629921" bottom="0.7480314960629921" header="0.31496062992125984" footer="0.31496062992125984"/>
  <pageSetup fitToHeight="1" fitToWidth="1" horizontalDpi="360" verticalDpi="360" orientation="portrait" paperSize="9" scale="57" r:id="rId4"/>
  <headerFooter>
    <oddFooter>&amp;C&amp;A</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IV30"/>
  <sheetViews>
    <sheetView showRowColHeaders="0" zoomScale="75" zoomScaleNormal="75" zoomScalePageLayoutView="75" workbookViewId="0" topLeftCell="A1">
      <selection activeCell="C14" sqref="C14"/>
    </sheetView>
  </sheetViews>
  <sheetFormatPr defaultColWidth="0" defaultRowHeight="14.25" zeroHeight="1"/>
  <cols>
    <col min="1" max="1" width="29.875" style="26" customWidth="1"/>
    <col min="2" max="4" width="16.125" style="26" customWidth="1"/>
    <col min="5" max="5" width="11.50390625" style="26" customWidth="1"/>
    <col min="6" max="16384" width="0" style="0" hidden="1" customWidth="1"/>
  </cols>
  <sheetData>
    <row r="1" spans="1:5" ht="14.25">
      <c r="A1" s="546" t="s">
        <v>148</v>
      </c>
      <c r="B1" s="547"/>
      <c r="C1" s="547"/>
      <c r="D1" s="547"/>
      <c r="E1" s="547"/>
    </row>
    <row r="2" spans="1:5" ht="14.25">
      <c r="A2" s="3"/>
      <c r="B2" s="3"/>
      <c r="C2" s="3"/>
      <c r="D2" s="3"/>
      <c r="E2" s="27"/>
    </row>
    <row r="3" spans="1:5" ht="15.75">
      <c r="A3" s="156"/>
      <c r="B3" s="3"/>
      <c r="C3" s="3"/>
      <c r="D3" s="3"/>
      <c r="E3" s="3" t="s">
        <v>149</v>
      </c>
    </row>
    <row r="4" spans="1:5" ht="14.25">
      <c r="A4" s="157" t="s">
        <v>142</v>
      </c>
      <c r="B4" s="435">
        <f>'3 Förutsättningar'!F14</f>
        <v>18303</v>
      </c>
      <c r="C4" s="3"/>
      <c r="D4" s="3"/>
      <c r="E4" s="3" t="s">
        <v>271</v>
      </c>
    </row>
    <row r="5" spans="1:5" ht="14.25">
      <c r="A5" s="157"/>
      <c r="B5" s="158"/>
      <c r="C5" s="3"/>
      <c r="D5" s="3"/>
      <c r="E5" s="3"/>
    </row>
    <row r="6" spans="1:256" ht="20.25">
      <c r="A6" s="159" t="s">
        <v>145</v>
      </c>
      <c r="B6" s="3"/>
      <c r="C6" s="3"/>
      <c r="D6" s="3"/>
      <c r="E6" s="3"/>
      <c r="F6" s="154">
        <f>IF($C$4&gt;0,$C$4,"")</f>
      </c>
      <c r="G6" s="154">
        <f>IF($C$4&gt;0,$C$4+1,"")</f>
      </c>
      <c r="H6" s="154">
        <f>IF($C$4&gt;0,$C$4+2,"")</f>
      </c>
      <c r="I6" s="153" t="s">
        <v>143</v>
      </c>
      <c r="J6" s="154">
        <f>IF($C$4&gt;0,$C$4,"")</f>
      </c>
      <c r="K6" s="154">
        <f>IF($C$4&gt;0,$C$4+1,"")</f>
      </c>
      <c r="L6" s="154">
        <f>IF($C$4&gt;0,$C$4+2,"")</f>
      </c>
      <c r="M6" s="153" t="s">
        <v>143</v>
      </c>
      <c r="N6" s="154">
        <f>IF($C$4&gt;0,$C$4,"")</f>
      </c>
      <c r="O6" s="154">
        <f>IF($C$4&gt;0,$C$4+1,"")</f>
      </c>
      <c r="P6" s="154">
        <f>IF($C$4&gt;0,$C$4+2,"")</f>
      </c>
      <c r="Q6" s="153" t="s">
        <v>143</v>
      </c>
      <c r="R6" s="154">
        <f>IF($C$4&gt;0,$C$4,"")</f>
      </c>
      <c r="S6" s="154">
        <f>IF($C$4&gt;0,$C$4+1,"")</f>
      </c>
      <c r="T6" s="154">
        <f>IF($C$4&gt;0,$C$4+2,"")</f>
      </c>
      <c r="U6" s="153" t="s">
        <v>143</v>
      </c>
      <c r="V6" s="154">
        <f>IF($C$4&gt;0,$C$4,"")</f>
      </c>
      <c r="W6" s="154">
        <f>IF($C$4&gt;0,$C$4+1,"")</f>
      </c>
      <c r="X6" s="154">
        <f>IF($C$4&gt;0,$C$4+2,"")</f>
      </c>
      <c r="Y6" s="153" t="s">
        <v>143</v>
      </c>
      <c r="Z6" s="154">
        <f>IF($C$4&gt;0,$C$4,"")</f>
      </c>
      <c r="AA6" s="154">
        <f>IF($C$4&gt;0,$C$4+1,"")</f>
      </c>
      <c r="AB6" s="154">
        <f>IF($C$4&gt;0,$C$4+2,"")</f>
      </c>
      <c r="AC6" s="153" t="s">
        <v>143</v>
      </c>
      <c r="AD6" s="154">
        <f>IF($C$4&gt;0,$C$4,"")</f>
      </c>
      <c r="AE6" s="154">
        <f>IF($C$4&gt;0,$C$4+1,"")</f>
      </c>
      <c r="AF6" s="154">
        <f>IF($C$4&gt;0,$C$4+2,"")</f>
      </c>
      <c r="AG6" s="153" t="s">
        <v>143</v>
      </c>
      <c r="AH6" s="154">
        <f>IF($C$4&gt;0,$C$4,"")</f>
      </c>
      <c r="AI6" s="154">
        <f>IF($C$4&gt;0,$C$4+1,"")</f>
      </c>
      <c r="AJ6" s="154">
        <f>IF($C$4&gt;0,$C$4+2,"")</f>
      </c>
      <c r="AK6" s="153" t="s">
        <v>143</v>
      </c>
      <c r="AL6" s="154">
        <f>IF($C$4&gt;0,$C$4,"")</f>
      </c>
      <c r="AM6" s="154">
        <f>IF($C$4&gt;0,$C$4+1,"")</f>
      </c>
      <c r="AN6" s="154">
        <f>IF($C$4&gt;0,$C$4+2,"")</f>
      </c>
      <c r="AO6" s="153" t="s">
        <v>143</v>
      </c>
      <c r="AP6" s="154">
        <f>IF($C$4&gt;0,$C$4,"")</f>
      </c>
      <c r="AQ6" s="154">
        <f>IF($C$4&gt;0,$C$4+1,"")</f>
      </c>
      <c r="AR6" s="154">
        <f>IF($C$4&gt;0,$C$4+2,"")</f>
      </c>
      <c r="AS6" s="153" t="s">
        <v>143</v>
      </c>
      <c r="AT6" s="154">
        <f>IF($C$4&gt;0,$C$4,"")</f>
      </c>
      <c r="AU6" s="154">
        <f>IF($C$4&gt;0,$C$4+1,"")</f>
      </c>
      <c r="AV6" s="154">
        <f>IF($C$4&gt;0,$C$4+2,"")</f>
      </c>
      <c r="AW6" s="153" t="s">
        <v>143</v>
      </c>
      <c r="AX6" s="154">
        <f>IF($C$4&gt;0,$C$4,"")</f>
      </c>
      <c r="AY6" s="154">
        <f>IF($C$4&gt;0,$C$4+1,"")</f>
      </c>
      <c r="AZ6" s="154">
        <f>IF($C$4&gt;0,$C$4+2,"")</f>
      </c>
      <c r="BA6" s="153" t="s">
        <v>143</v>
      </c>
      <c r="BB6" s="154">
        <f>IF($C$4&gt;0,$C$4,"")</f>
      </c>
      <c r="BC6" s="154">
        <f>IF($C$4&gt;0,$C$4+1,"")</f>
      </c>
      <c r="BD6" s="154">
        <f>IF($C$4&gt;0,$C$4+2,"")</f>
      </c>
      <c r="BE6" s="153" t="s">
        <v>143</v>
      </c>
      <c r="BF6" s="154">
        <f>IF($C$4&gt;0,$C$4,"")</f>
      </c>
      <c r="BG6" s="154">
        <f>IF($C$4&gt;0,$C$4+1,"")</f>
      </c>
      <c r="BH6" s="154">
        <f>IF($C$4&gt;0,$C$4+2,"")</f>
      </c>
      <c r="BI6" s="153" t="s">
        <v>143</v>
      </c>
      <c r="BJ6" s="154">
        <f>IF($C$4&gt;0,$C$4,"")</f>
      </c>
      <c r="BK6" s="154">
        <f>IF($C$4&gt;0,$C$4+1,"")</f>
      </c>
      <c r="BL6" s="154">
        <f>IF($C$4&gt;0,$C$4+2,"")</f>
      </c>
      <c r="BM6" s="153" t="s">
        <v>143</v>
      </c>
      <c r="BN6" s="154">
        <f>IF($C$4&gt;0,$C$4,"")</f>
      </c>
      <c r="BO6" s="154">
        <f>IF($C$4&gt;0,$C$4+1,"")</f>
      </c>
      <c r="BP6" s="154">
        <f>IF($C$4&gt;0,$C$4+2,"")</f>
      </c>
      <c r="BQ6" s="153" t="s">
        <v>143</v>
      </c>
      <c r="BR6" s="154">
        <f>IF($C$4&gt;0,$C$4,"")</f>
      </c>
      <c r="BS6" s="154">
        <f>IF($C$4&gt;0,$C$4+1,"")</f>
      </c>
      <c r="BT6" s="154">
        <f>IF($C$4&gt;0,$C$4+2,"")</f>
      </c>
      <c r="BU6" s="153" t="s">
        <v>143</v>
      </c>
      <c r="BV6" s="154">
        <f>IF($C$4&gt;0,$C$4,"")</f>
      </c>
      <c r="BW6" s="154">
        <f>IF($C$4&gt;0,$C$4+1,"")</f>
      </c>
      <c r="BX6" s="154">
        <f>IF($C$4&gt;0,$C$4+2,"")</f>
      </c>
      <c r="BY6" s="153" t="s">
        <v>143</v>
      </c>
      <c r="BZ6" s="154">
        <f>IF($C$4&gt;0,$C$4,"")</f>
      </c>
      <c r="CA6" s="154">
        <f>IF($C$4&gt;0,$C$4+1,"")</f>
      </c>
      <c r="CB6" s="154">
        <f>IF($C$4&gt;0,$C$4+2,"")</f>
      </c>
      <c r="CC6" s="153" t="s">
        <v>143</v>
      </c>
      <c r="CD6" s="154">
        <f>IF($C$4&gt;0,$C$4,"")</f>
      </c>
      <c r="CE6" s="154">
        <f>IF($C$4&gt;0,$C$4+1,"")</f>
      </c>
      <c r="CF6" s="154">
        <f>IF($C$4&gt;0,$C$4+2,"")</f>
      </c>
      <c r="CG6" s="153" t="s">
        <v>143</v>
      </c>
      <c r="CH6" s="154">
        <f>IF($C$4&gt;0,$C$4,"")</f>
      </c>
      <c r="CI6" s="154">
        <f>IF($C$4&gt;0,$C$4+1,"")</f>
      </c>
      <c r="CJ6" s="154">
        <f>IF($C$4&gt;0,$C$4+2,"")</f>
      </c>
      <c r="CK6" s="153" t="s">
        <v>143</v>
      </c>
      <c r="CL6" s="154">
        <f>IF($C$4&gt;0,$C$4,"")</f>
      </c>
      <c r="CM6" s="154">
        <f>IF($C$4&gt;0,$C$4+1,"")</f>
      </c>
      <c r="CN6" s="154">
        <f>IF($C$4&gt;0,$C$4+2,"")</f>
      </c>
      <c r="CO6" s="153" t="s">
        <v>143</v>
      </c>
      <c r="CP6" s="154">
        <f>IF($C$4&gt;0,$C$4,"")</f>
      </c>
      <c r="CQ6" s="154">
        <f>IF($C$4&gt;0,$C$4+1,"")</f>
      </c>
      <c r="CR6" s="154">
        <f>IF($C$4&gt;0,$C$4+2,"")</f>
      </c>
      <c r="CS6" s="153" t="s">
        <v>143</v>
      </c>
      <c r="CT6" s="154">
        <f>IF($C$4&gt;0,$C$4,"")</f>
      </c>
      <c r="CU6" s="154">
        <f>IF($C$4&gt;0,$C$4+1,"")</f>
      </c>
      <c r="CV6" s="154">
        <f>IF($C$4&gt;0,$C$4+2,"")</f>
      </c>
      <c r="CW6" s="153" t="s">
        <v>143</v>
      </c>
      <c r="CX6" s="154">
        <f>IF($C$4&gt;0,$C$4,"")</f>
      </c>
      <c r="CY6" s="154">
        <f>IF($C$4&gt;0,$C$4+1,"")</f>
      </c>
      <c r="CZ6" s="154">
        <f>IF($C$4&gt;0,$C$4+2,"")</f>
      </c>
      <c r="DA6" s="153" t="s">
        <v>143</v>
      </c>
      <c r="DB6" s="154">
        <f>IF($C$4&gt;0,$C$4,"")</f>
      </c>
      <c r="DC6" s="154">
        <f>IF($C$4&gt;0,$C$4+1,"")</f>
      </c>
      <c r="DD6" s="154">
        <f>IF($C$4&gt;0,$C$4+2,"")</f>
      </c>
      <c r="DE6" s="153" t="s">
        <v>143</v>
      </c>
      <c r="DF6" s="154">
        <f>IF($C$4&gt;0,$C$4,"")</f>
      </c>
      <c r="DG6" s="154">
        <f>IF($C$4&gt;0,$C$4+1,"")</f>
      </c>
      <c r="DH6" s="154">
        <f>IF($C$4&gt;0,$C$4+2,"")</f>
      </c>
      <c r="DI6" s="153" t="s">
        <v>143</v>
      </c>
      <c r="DJ6" s="154">
        <f>IF($C$4&gt;0,$C$4,"")</f>
      </c>
      <c r="DK6" s="154">
        <f>IF($C$4&gt;0,$C$4+1,"")</f>
      </c>
      <c r="DL6" s="154">
        <f>IF($C$4&gt;0,$C$4+2,"")</f>
      </c>
      <c r="DM6" s="153" t="s">
        <v>143</v>
      </c>
      <c r="DN6" s="154">
        <f>IF($C$4&gt;0,$C$4,"")</f>
      </c>
      <c r="DO6" s="154">
        <f>IF($C$4&gt;0,$C$4+1,"")</f>
      </c>
      <c r="DP6" s="154">
        <f>IF($C$4&gt;0,$C$4+2,"")</f>
      </c>
      <c r="DQ6" s="153" t="s">
        <v>143</v>
      </c>
      <c r="DR6" s="154">
        <f>IF($C$4&gt;0,$C$4,"")</f>
      </c>
      <c r="DS6" s="154">
        <f>IF($C$4&gt;0,$C$4+1,"")</f>
      </c>
      <c r="DT6" s="154">
        <f>IF($C$4&gt;0,$C$4+2,"")</f>
      </c>
      <c r="DU6" s="153" t="s">
        <v>143</v>
      </c>
      <c r="DV6" s="154">
        <f>IF($C$4&gt;0,$C$4,"")</f>
      </c>
      <c r="DW6" s="154">
        <f>IF($C$4&gt;0,$C$4+1,"")</f>
      </c>
      <c r="DX6" s="154">
        <f>IF($C$4&gt;0,$C$4+2,"")</f>
      </c>
      <c r="DY6" s="153" t="s">
        <v>143</v>
      </c>
      <c r="DZ6" s="154">
        <f>IF($C$4&gt;0,$C$4,"")</f>
      </c>
      <c r="EA6" s="154">
        <f>IF($C$4&gt;0,$C$4+1,"")</f>
      </c>
      <c r="EB6" s="154">
        <f>IF($C$4&gt;0,$C$4+2,"")</f>
      </c>
      <c r="EC6" s="153" t="s">
        <v>143</v>
      </c>
      <c r="ED6" s="154">
        <f>IF($C$4&gt;0,$C$4,"")</f>
      </c>
      <c r="EE6" s="154">
        <f>IF($C$4&gt;0,$C$4+1,"")</f>
      </c>
      <c r="EF6" s="154">
        <f>IF($C$4&gt;0,$C$4+2,"")</f>
      </c>
      <c r="EG6" s="153" t="s">
        <v>143</v>
      </c>
      <c r="EH6" s="154">
        <f>IF($C$4&gt;0,$C$4,"")</f>
      </c>
      <c r="EI6" s="154">
        <f>IF($C$4&gt;0,$C$4+1,"")</f>
      </c>
      <c r="EJ6" s="154">
        <f>IF($C$4&gt;0,$C$4+2,"")</f>
      </c>
      <c r="EK6" s="153" t="s">
        <v>143</v>
      </c>
      <c r="EL6" s="154">
        <f>IF($C$4&gt;0,$C$4,"")</f>
      </c>
      <c r="EM6" s="154">
        <f>IF($C$4&gt;0,$C$4+1,"")</f>
      </c>
      <c r="EN6" s="154">
        <f>IF($C$4&gt;0,$C$4+2,"")</f>
      </c>
      <c r="EO6" s="153" t="s">
        <v>143</v>
      </c>
      <c r="EP6" s="154">
        <f>IF($C$4&gt;0,$C$4,"")</f>
      </c>
      <c r="EQ6" s="154">
        <f>IF($C$4&gt;0,$C$4+1,"")</f>
      </c>
      <c r="ER6" s="154">
        <f>IF($C$4&gt;0,$C$4+2,"")</f>
      </c>
      <c r="ES6" s="153" t="s">
        <v>143</v>
      </c>
      <c r="ET6" s="154">
        <f>IF($C$4&gt;0,$C$4,"")</f>
      </c>
      <c r="EU6" s="154">
        <f>IF($C$4&gt;0,$C$4+1,"")</f>
      </c>
      <c r="EV6" s="154">
        <f>IF($C$4&gt;0,$C$4+2,"")</f>
      </c>
      <c r="EW6" s="153" t="s">
        <v>143</v>
      </c>
      <c r="EX6" s="154">
        <f>IF($C$4&gt;0,$C$4,"")</f>
      </c>
      <c r="EY6" s="154">
        <f>IF($C$4&gt;0,$C$4+1,"")</f>
      </c>
      <c r="EZ6" s="154">
        <f>IF($C$4&gt;0,$C$4+2,"")</f>
      </c>
      <c r="FA6" s="153" t="s">
        <v>143</v>
      </c>
      <c r="FB6" s="154">
        <f>IF($C$4&gt;0,$C$4,"")</f>
      </c>
      <c r="FC6" s="154">
        <f>IF($C$4&gt;0,$C$4+1,"")</f>
      </c>
      <c r="FD6" s="154">
        <f>IF($C$4&gt;0,$C$4+2,"")</f>
      </c>
      <c r="FE6" s="153" t="s">
        <v>143</v>
      </c>
      <c r="FF6" s="154">
        <f>IF($C$4&gt;0,$C$4,"")</f>
      </c>
      <c r="FG6" s="154">
        <f>IF($C$4&gt;0,$C$4+1,"")</f>
      </c>
      <c r="FH6" s="154">
        <f>IF($C$4&gt;0,$C$4+2,"")</f>
      </c>
      <c r="FI6" s="153" t="s">
        <v>143</v>
      </c>
      <c r="FJ6" s="154">
        <f>IF($C$4&gt;0,$C$4,"")</f>
      </c>
      <c r="FK6" s="154">
        <f>IF($C$4&gt;0,$C$4+1,"")</f>
      </c>
      <c r="FL6" s="154">
        <f>IF($C$4&gt;0,$C$4+2,"")</f>
      </c>
      <c r="FM6" s="153" t="s">
        <v>143</v>
      </c>
      <c r="FN6" s="154">
        <f>IF($C$4&gt;0,$C$4,"")</f>
      </c>
      <c r="FO6" s="154">
        <f>IF($C$4&gt;0,$C$4+1,"")</f>
      </c>
      <c r="FP6" s="154">
        <f>IF($C$4&gt;0,$C$4+2,"")</f>
      </c>
      <c r="FQ6" s="153" t="s">
        <v>143</v>
      </c>
      <c r="FR6" s="154">
        <f>IF($C$4&gt;0,$C$4,"")</f>
      </c>
      <c r="FS6" s="154">
        <f>IF($C$4&gt;0,$C$4+1,"")</f>
      </c>
      <c r="FT6" s="154">
        <f>IF($C$4&gt;0,$C$4+2,"")</f>
      </c>
      <c r="FU6" s="153" t="s">
        <v>143</v>
      </c>
      <c r="FV6" s="154">
        <f>IF($C$4&gt;0,$C$4,"")</f>
      </c>
      <c r="FW6" s="154">
        <f>IF($C$4&gt;0,$C$4+1,"")</f>
      </c>
      <c r="FX6" s="154">
        <f>IF($C$4&gt;0,$C$4+2,"")</f>
      </c>
      <c r="FY6" s="153" t="s">
        <v>143</v>
      </c>
      <c r="FZ6" s="154">
        <f>IF($C$4&gt;0,$C$4,"")</f>
      </c>
      <c r="GA6" s="154">
        <f>IF($C$4&gt;0,$C$4+1,"")</f>
      </c>
      <c r="GB6" s="154">
        <f>IF($C$4&gt;0,$C$4+2,"")</f>
      </c>
      <c r="GC6" s="153" t="s">
        <v>143</v>
      </c>
      <c r="GD6" s="154">
        <f>IF($C$4&gt;0,$C$4,"")</f>
      </c>
      <c r="GE6" s="154">
        <f>IF($C$4&gt;0,$C$4+1,"")</f>
      </c>
      <c r="GF6" s="154">
        <f>IF($C$4&gt;0,$C$4+2,"")</f>
      </c>
      <c r="GG6" s="153" t="s">
        <v>143</v>
      </c>
      <c r="GH6" s="154">
        <f>IF($C$4&gt;0,$C$4,"")</f>
      </c>
      <c r="GI6" s="154">
        <f>IF($C$4&gt;0,$C$4+1,"")</f>
      </c>
      <c r="GJ6" s="154">
        <f>IF($C$4&gt;0,$C$4+2,"")</f>
      </c>
      <c r="GK6" s="153" t="s">
        <v>143</v>
      </c>
      <c r="GL6" s="154">
        <f>IF($C$4&gt;0,$C$4,"")</f>
      </c>
      <c r="GM6" s="154">
        <f>IF($C$4&gt;0,$C$4+1,"")</f>
      </c>
      <c r="GN6" s="154">
        <f>IF($C$4&gt;0,$C$4+2,"")</f>
      </c>
      <c r="GO6" s="153" t="s">
        <v>143</v>
      </c>
      <c r="GP6" s="154">
        <f>IF($C$4&gt;0,$C$4,"")</f>
      </c>
      <c r="GQ6" s="154">
        <f>IF($C$4&gt;0,$C$4+1,"")</f>
      </c>
      <c r="GR6" s="154">
        <f>IF($C$4&gt;0,$C$4+2,"")</f>
      </c>
      <c r="GS6" s="153" t="s">
        <v>143</v>
      </c>
      <c r="GT6" s="154">
        <f>IF($C$4&gt;0,$C$4,"")</f>
      </c>
      <c r="GU6" s="154">
        <f>IF($C$4&gt;0,$C$4+1,"")</f>
      </c>
      <c r="GV6" s="154">
        <f>IF($C$4&gt;0,$C$4+2,"")</f>
      </c>
      <c r="GW6" s="153" t="s">
        <v>143</v>
      </c>
      <c r="GX6" s="154">
        <f>IF($C$4&gt;0,$C$4,"")</f>
      </c>
      <c r="GY6" s="154">
        <f>IF($C$4&gt;0,$C$4+1,"")</f>
      </c>
      <c r="GZ6" s="154">
        <f>IF($C$4&gt;0,$C$4+2,"")</f>
      </c>
      <c r="HA6" s="153" t="s">
        <v>143</v>
      </c>
      <c r="HB6" s="154">
        <f>IF($C$4&gt;0,$C$4,"")</f>
      </c>
      <c r="HC6" s="154">
        <f>IF($C$4&gt;0,$C$4+1,"")</f>
      </c>
      <c r="HD6" s="154">
        <f>IF($C$4&gt;0,$C$4+2,"")</f>
      </c>
      <c r="HE6" s="153" t="s">
        <v>143</v>
      </c>
      <c r="HF6" s="154">
        <f>IF($C$4&gt;0,$C$4,"")</f>
      </c>
      <c r="HG6" s="154">
        <f>IF($C$4&gt;0,$C$4+1,"")</f>
      </c>
      <c r="HH6" s="154">
        <f>IF($C$4&gt;0,$C$4+2,"")</f>
      </c>
      <c r="HI6" s="153" t="s">
        <v>143</v>
      </c>
      <c r="HJ6" s="154">
        <f>IF($C$4&gt;0,$C$4,"")</f>
      </c>
      <c r="HK6" s="154">
        <f>IF($C$4&gt;0,$C$4+1,"")</f>
      </c>
      <c r="HL6" s="154">
        <f>IF($C$4&gt;0,$C$4+2,"")</f>
      </c>
      <c r="HM6" s="153" t="s">
        <v>143</v>
      </c>
      <c r="HN6" s="154">
        <f>IF($C$4&gt;0,$C$4,"")</f>
      </c>
      <c r="HO6" s="154">
        <f>IF($C$4&gt;0,$C$4+1,"")</f>
      </c>
      <c r="HP6" s="154">
        <f>IF($C$4&gt;0,$C$4+2,"")</f>
      </c>
      <c r="HQ6" s="153" t="s">
        <v>143</v>
      </c>
      <c r="HR6" s="154">
        <f>IF($C$4&gt;0,$C$4,"")</f>
      </c>
      <c r="HS6" s="154">
        <f>IF($C$4&gt;0,$C$4+1,"")</f>
      </c>
      <c r="HT6" s="154">
        <f>IF($C$4&gt;0,$C$4+2,"")</f>
      </c>
      <c r="HU6" s="153" t="s">
        <v>143</v>
      </c>
      <c r="HV6" s="154">
        <f>IF($C$4&gt;0,$C$4,"")</f>
      </c>
      <c r="HW6" s="154">
        <f>IF($C$4&gt;0,$C$4+1,"")</f>
      </c>
      <c r="HX6" s="154">
        <f>IF($C$4&gt;0,$C$4+2,"")</f>
      </c>
      <c r="HY6" s="153" t="s">
        <v>143</v>
      </c>
      <c r="HZ6" s="154">
        <f>IF($C$4&gt;0,$C$4,"")</f>
      </c>
      <c r="IA6" s="154">
        <f>IF($C$4&gt;0,$C$4+1,"")</f>
      </c>
      <c r="IB6" s="154">
        <f>IF($C$4&gt;0,$C$4+2,"")</f>
      </c>
      <c r="IC6" s="153" t="s">
        <v>143</v>
      </c>
      <c r="ID6" s="154">
        <f>IF($C$4&gt;0,$C$4,"")</f>
      </c>
      <c r="IE6" s="154">
        <f>IF($C$4&gt;0,$C$4+1,"")</f>
      </c>
      <c r="IF6" s="154">
        <f>IF($C$4&gt;0,$C$4+2,"")</f>
      </c>
      <c r="IG6" s="153" t="s">
        <v>143</v>
      </c>
      <c r="IH6" s="154">
        <f>IF($C$4&gt;0,$C$4,"")</f>
      </c>
      <c r="II6" s="154">
        <f>IF($C$4&gt;0,$C$4+1,"")</f>
      </c>
      <c r="IJ6" s="154">
        <f>IF($C$4&gt;0,$C$4+2,"")</f>
      </c>
      <c r="IK6" s="153" t="s">
        <v>143</v>
      </c>
      <c r="IL6" s="154">
        <f>IF($C$4&gt;0,$C$4,"")</f>
      </c>
      <c r="IM6" s="154">
        <f>IF($C$4&gt;0,$C$4+1,"")</f>
      </c>
      <c r="IN6" s="154">
        <f>IF($C$4&gt;0,$C$4+2,"")</f>
      </c>
      <c r="IO6" s="153" t="s">
        <v>143</v>
      </c>
      <c r="IP6" s="154">
        <f>IF($C$4&gt;0,$C$4,"")</f>
      </c>
      <c r="IQ6" s="154">
        <f>IF($C$4&gt;0,$C$4+1,"")</f>
      </c>
      <c r="IR6" s="154">
        <f>IF($C$4&gt;0,$C$4+2,"")</f>
      </c>
      <c r="IS6" s="153" t="s">
        <v>143</v>
      </c>
      <c r="IT6" s="154">
        <f>IF($C$4&gt;0,$C$4,"")</f>
      </c>
      <c r="IU6" s="154">
        <f>IF($C$4&gt;0,$C$4+1,"")</f>
      </c>
      <c r="IV6" s="154">
        <f>IF($C$4&gt;0,$C$4+2,"")</f>
      </c>
    </row>
    <row r="7" spans="1:256" ht="15">
      <c r="A7" s="160" t="s">
        <v>136</v>
      </c>
      <c r="B7" s="161">
        <f>'4 Avskjutning&amp;Prognos'!F13</f>
        <v>2023</v>
      </c>
      <c r="C7" s="161">
        <f>'4 Avskjutning&amp;Prognos'!G13</f>
        <v>2024</v>
      </c>
      <c r="D7" s="161">
        <f>'4 Avskjutning&amp;Prognos'!H13</f>
        <v>2025</v>
      </c>
      <c r="E7" s="162"/>
      <c r="F7" s="155"/>
      <c r="G7" s="155"/>
      <c r="H7" s="155"/>
      <c r="I7" s="152" t="s">
        <v>144</v>
      </c>
      <c r="J7" s="155"/>
      <c r="K7" s="155"/>
      <c r="L7" s="155"/>
      <c r="M7" s="152" t="s">
        <v>144</v>
      </c>
      <c r="N7" s="155"/>
      <c r="O7" s="155"/>
      <c r="P7" s="155"/>
      <c r="Q7" s="152" t="s">
        <v>144</v>
      </c>
      <c r="R7" s="155"/>
      <c r="S7" s="155"/>
      <c r="T7" s="155"/>
      <c r="U7" s="152" t="s">
        <v>144</v>
      </c>
      <c r="V7" s="155"/>
      <c r="W7" s="155"/>
      <c r="X7" s="155"/>
      <c r="Y7" s="152" t="s">
        <v>144</v>
      </c>
      <c r="Z7" s="155"/>
      <c r="AA7" s="155"/>
      <c r="AB7" s="155"/>
      <c r="AC7" s="152" t="s">
        <v>144</v>
      </c>
      <c r="AD7" s="155"/>
      <c r="AE7" s="155"/>
      <c r="AF7" s="155"/>
      <c r="AG7" s="152" t="s">
        <v>144</v>
      </c>
      <c r="AH7" s="155"/>
      <c r="AI7" s="155"/>
      <c r="AJ7" s="155"/>
      <c r="AK7" s="152" t="s">
        <v>144</v>
      </c>
      <c r="AL7" s="155"/>
      <c r="AM7" s="155"/>
      <c r="AN7" s="155"/>
      <c r="AO7" s="152" t="s">
        <v>144</v>
      </c>
      <c r="AP7" s="155"/>
      <c r="AQ7" s="155"/>
      <c r="AR7" s="155"/>
      <c r="AS7" s="152" t="s">
        <v>144</v>
      </c>
      <c r="AT7" s="155"/>
      <c r="AU7" s="155"/>
      <c r="AV7" s="155"/>
      <c r="AW7" s="152" t="s">
        <v>144</v>
      </c>
      <c r="AX7" s="155"/>
      <c r="AY7" s="155"/>
      <c r="AZ7" s="155"/>
      <c r="BA7" s="152" t="s">
        <v>144</v>
      </c>
      <c r="BB7" s="155"/>
      <c r="BC7" s="155"/>
      <c r="BD7" s="155"/>
      <c r="BE7" s="152" t="s">
        <v>144</v>
      </c>
      <c r="BF7" s="155"/>
      <c r="BG7" s="155"/>
      <c r="BH7" s="155"/>
      <c r="BI7" s="152" t="s">
        <v>144</v>
      </c>
      <c r="BJ7" s="155"/>
      <c r="BK7" s="155"/>
      <c r="BL7" s="155"/>
      <c r="BM7" s="152" t="s">
        <v>144</v>
      </c>
      <c r="BN7" s="155"/>
      <c r="BO7" s="155"/>
      <c r="BP7" s="155"/>
      <c r="BQ7" s="152" t="s">
        <v>144</v>
      </c>
      <c r="BR7" s="155"/>
      <c r="BS7" s="155"/>
      <c r="BT7" s="155"/>
      <c r="BU7" s="152" t="s">
        <v>144</v>
      </c>
      <c r="BV7" s="155"/>
      <c r="BW7" s="155"/>
      <c r="BX7" s="155"/>
      <c r="BY7" s="152" t="s">
        <v>144</v>
      </c>
      <c r="BZ7" s="155"/>
      <c r="CA7" s="155"/>
      <c r="CB7" s="155"/>
      <c r="CC7" s="152" t="s">
        <v>144</v>
      </c>
      <c r="CD7" s="155"/>
      <c r="CE7" s="155"/>
      <c r="CF7" s="155"/>
      <c r="CG7" s="152" t="s">
        <v>144</v>
      </c>
      <c r="CH7" s="155"/>
      <c r="CI7" s="155"/>
      <c r="CJ7" s="155"/>
      <c r="CK7" s="152" t="s">
        <v>144</v>
      </c>
      <c r="CL7" s="155"/>
      <c r="CM7" s="155"/>
      <c r="CN7" s="155"/>
      <c r="CO7" s="152" t="s">
        <v>144</v>
      </c>
      <c r="CP7" s="155"/>
      <c r="CQ7" s="155"/>
      <c r="CR7" s="155"/>
      <c r="CS7" s="152" t="s">
        <v>144</v>
      </c>
      <c r="CT7" s="155"/>
      <c r="CU7" s="155"/>
      <c r="CV7" s="155"/>
      <c r="CW7" s="152" t="s">
        <v>144</v>
      </c>
      <c r="CX7" s="155"/>
      <c r="CY7" s="155"/>
      <c r="CZ7" s="155"/>
      <c r="DA7" s="152" t="s">
        <v>144</v>
      </c>
      <c r="DB7" s="155"/>
      <c r="DC7" s="155"/>
      <c r="DD7" s="155"/>
      <c r="DE7" s="152" t="s">
        <v>144</v>
      </c>
      <c r="DF7" s="155"/>
      <c r="DG7" s="155"/>
      <c r="DH7" s="155"/>
      <c r="DI7" s="152" t="s">
        <v>144</v>
      </c>
      <c r="DJ7" s="155"/>
      <c r="DK7" s="155"/>
      <c r="DL7" s="155"/>
      <c r="DM7" s="152" t="s">
        <v>144</v>
      </c>
      <c r="DN7" s="155"/>
      <c r="DO7" s="155"/>
      <c r="DP7" s="155"/>
      <c r="DQ7" s="152" t="s">
        <v>144</v>
      </c>
      <c r="DR7" s="155"/>
      <c r="DS7" s="155"/>
      <c r="DT7" s="155"/>
      <c r="DU7" s="152" t="s">
        <v>144</v>
      </c>
      <c r="DV7" s="155"/>
      <c r="DW7" s="155"/>
      <c r="DX7" s="155"/>
      <c r="DY7" s="152" t="s">
        <v>144</v>
      </c>
      <c r="DZ7" s="155"/>
      <c r="EA7" s="155"/>
      <c r="EB7" s="155"/>
      <c r="EC7" s="152" t="s">
        <v>144</v>
      </c>
      <c r="ED7" s="155"/>
      <c r="EE7" s="155"/>
      <c r="EF7" s="155"/>
      <c r="EG7" s="152" t="s">
        <v>144</v>
      </c>
      <c r="EH7" s="155"/>
      <c r="EI7" s="155"/>
      <c r="EJ7" s="155"/>
      <c r="EK7" s="152" t="s">
        <v>144</v>
      </c>
      <c r="EL7" s="155"/>
      <c r="EM7" s="155"/>
      <c r="EN7" s="155"/>
      <c r="EO7" s="152" t="s">
        <v>144</v>
      </c>
      <c r="EP7" s="155"/>
      <c r="EQ7" s="155"/>
      <c r="ER7" s="155"/>
      <c r="ES7" s="152" t="s">
        <v>144</v>
      </c>
      <c r="ET7" s="155"/>
      <c r="EU7" s="155"/>
      <c r="EV7" s="155"/>
      <c r="EW7" s="152" t="s">
        <v>144</v>
      </c>
      <c r="EX7" s="155"/>
      <c r="EY7" s="155"/>
      <c r="EZ7" s="155"/>
      <c r="FA7" s="152" t="s">
        <v>144</v>
      </c>
      <c r="FB7" s="155"/>
      <c r="FC7" s="155"/>
      <c r="FD7" s="155"/>
      <c r="FE7" s="152" t="s">
        <v>144</v>
      </c>
      <c r="FF7" s="155"/>
      <c r="FG7" s="155"/>
      <c r="FH7" s="155"/>
      <c r="FI7" s="152" t="s">
        <v>144</v>
      </c>
      <c r="FJ7" s="155"/>
      <c r="FK7" s="155"/>
      <c r="FL7" s="155"/>
      <c r="FM7" s="152" t="s">
        <v>144</v>
      </c>
      <c r="FN7" s="155"/>
      <c r="FO7" s="155"/>
      <c r="FP7" s="155"/>
      <c r="FQ7" s="152" t="s">
        <v>144</v>
      </c>
      <c r="FR7" s="155"/>
      <c r="FS7" s="155"/>
      <c r="FT7" s="155"/>
      <c r="FU7" s="152" t="s">
        <v>144</v>
      </c>
      <c r="FV7" s="155"/>
      <c r="FW7" s="155"/>
      <c r="FX7" s="155"/>
      <c r="FY7" s="152" t="s">
        <v>144</v>
      </c>
      <c r="FZ7" s="155"/>
      <c r="GA7" s="155"/>
      <c r="GB7" s="155"/>
      <c r="GC7" s="152" t="s">
        <v>144</v>
      </c>
      <c r="GD7" s="155"/>
      <c r="GE7" s="155"/>
      <c r="GF7" s="155"/>
      <c r="GG7" s="152" t="s">
        <v>144</v>
      </c>
      <c r="GH7" s="155"/>
      <c r="GI7" s="155"/>
      <c r="GJ7" s="155"/>
      <c r="GK7" s="152" t="s">
        <v>144</v>
      </c>
      <c r="GL7" s="155"/>
      <c r="GM7" s="155"/>
      <c r="GN7" s="155"/>
      <c r="GO7" s="152" t="s">
        <v>144</v>
      </c>
      <c r="GP7" s="155"/>
      <c r="GQ7" s="155"/>
      <c r="GR7" s="155"/>
      <c r="GS7" s="152" t="s">
        <v>144</v>
      </c>
      <c r="GT7" s="155"/>
      <c r="GU7" s="155"/>
      <c r="GV7" s="155"/>
      <c r="GW7" s="152" t="s">
        <v>144</v>
      </c>
      <c r="GX7" s="155"/>
      <c r="GY7" s="155"/>
      <c r="GZ7" s="155"/>
      <c r="HA7" s="152" t="s">
        <v>144</v>
      </c>
      <c r="HB7" s="155"/>
      <c r="HC7" s="155"/>
      <c r="HD7" s="155"/>
      <c r="HE7" s="152" t="s">
        <v>144</v>
      </c>
      <c r="HF7" s="155"/>
      <c r="HG7" s="155"/>
      <c r="HH7" s="155"/>
      <c r="HI7" s="152" t="s">
        <v>144</v>
      </c>
      <c r="HJ7" s="155"/>
      <c r="HK7" s="155"/>
      <c r="HL7" s="155"/>
      <c r="HM7" s="152" t="s">
        <v>144</v>
      </c>
      <c r="HN7" s="155"/>
      <c r="HO7" s="155"/>
      <c r="HP7" s="155"/>
      <c r="HQ7" s="152" t="s">
        <v>144</v>
      </c>
      <c r="HR7" s="155"/>
      <c r="HS7" s="155"/>
      <c r="HT7" s="155"/>
      <c r="HU7" s="152" t="s">
        <v>144</v>
      </c>
      <c r="HV7" s="155"/>
      <c r="HW7" s="155"/>
      <c r="HX7" s="155"/>
      <c r="HY7" s="152" t="s">
        <v>144</v>
      </c>
      <c r="HZ7" s="155"/>
      <c r="IA7" s="155"/>
      <c r="IB7" s="155"/>
      <c r="IC7" s="152" t="s">
        <v>144</v>
      </c>
      <c r="ID7" s="155"/>
      <c r="IE7" s="155"/>
      <c r="IF7" s="155"/>
      <c r="IG7" s="152" t="s">
        <v>144</v>
      </c>
      <c r="IH7" s="155"/>
      <c r="II7" s="155"/>
      <c r="IJ7" s="155"/>
      <c r="IK7" s="152" t="s">
        <v>144</v>
      </c>
      <c r="IL7" s="155"/>
      <c r="IM7" s="155"/>
      <c r="IN7" s="155"/>
      <c r="IO7" s="152" t="s">
        <v>144</v>
      </c>
      <c r="IP7" s="155"/>
      <c r="IQ7" s="155"/>
      <c r="IR7" s="155"/>
      <c r="IS7" s="152" t="s">
        <v>144</v>
      </c>
      <c r="IT7" s="155"/>
      <c r="IU7" s="155"/>
      <c r="IV7" s="155"/>
    </row>
    <row r="8" spans="1:5" ht="14.25">
      <c r="A8" s="157" t="s">
        <v>144</v>
      </c>
      <c r="B8" s="436">
        <v>6</v>
      </c>
      <c r="C8" s="436">
        <f>'4 Avskjutning&amp;Prognos'!G28</f>
        <v>6.4120862039044315</v>
      </c>
      <c r="D8" s="436">
        <f>'4 Avskjutning&amp;Prognos'!H28</f>
        <v>5.90055977802279</v>
      </c>
      <c r="E8" s="157" t="s">
        <v>270</v>
      </c>
    </row>
    <row r="9" spans="1:5" ht="14.25">
      <c r="A9" s="3"/>
      <c r="B9" s="3"/>
      <c r="C9" s="3"/>
      <c r="D9" s="3"/>
      <c r="E9" s="3"/>
    </row>
    <row r="10" spans="1:5" ht="15">
      <c r="A10" s="3"/>
      <c r="B10" s="163" t="str">
        <f>CONCATENATE("Medel ",B7,"-",D7)</f>
        <v>Medel 2023-2025</v>
      </c>
      <c r="C10" s="3"/>
      <c r="D10" s="3"/>
      <c r="E10" s="3"/>
    </row>
    <row r="11" spans="1:5" ht="14.25">
      <c r="A11" s="3" t="s">
        <v>150</v>
      </c>
      <c r="B11" s="437">
        <f>AVERAGE(Kod!AS7:Kod!AU7)</f>
        <v>0.3597594018791188</v>
      </c>
      <c r="C11" s="3"/>
      <c r="D11" s="3"/>
      <c r="E11" s="3" t="s">
        <v>267</v>
      </c>
    </row>
    <row r="12" spans="1:5" ht="14.25">
      <c r="A12" s="157" t="s">
        <v>151</v>
      </c>
      <c r="B12" s="438">
        <f>AVERAGE(Kod!AL36:AN36)</f>
        <v>0.6916079282715394</v>
      </c>
      <c r="C12" s="3"/>
      <c r="D12" s="3"/>
      <c r="E12" s="3" t="s">
        <v>268</v>
      </c>
    </row>
    <row r="13" spans="1:5" ht="14.25">
      <c r="A13" s="157" t="s">
        <v>146</v>
      </c>
      <c r="B13" s="437">
        <f>AVERAGE('4 Avskjutning&amp;Prognos'!F17:H17)</f>
        <v>0.48333333333333334</v>
      </c>
      <c r="C13" s="3"/>
      <c r="D13" s="3"/>
      <c r="E13" s="3" t="s">
        <v>269</v>
      </c>
    </row>
    <row r="14" spans="1:5" ht="14.25">
      <c r="A14" s="3"/>
      <c r="B14" s="3"/>
      <c r="C14" s="3"/>
      <c r="D14" s="3"/>
      <c r="E14" s="3"/>
    </row>
    <row r="15" spans="1:5" ht="20.25">
      <c r="A15" s="159" t="s">
        <v>147</v>
      </c>
      <c r="B15" s="3"/>
      <c r="C15" s="3"/>
      <c r="D15" s="3"/>
      <c r="E15" s="3"/>
    </row>
    <row r="16" spans="1:5" ht="15">
      <c r="A16" s="160" t="s">
        <v>136</v>
      </c>
      <c r="B16" s="164">
        <f>'4 Avskjutning&amp;Prognos'!F13</f>
        <v>2023</v>
      </c>
      <c r="C16" s="164">
        <f>'4 Avskjutning&amp;Prognos'!G13</f>
        <v>2024</v>
      </c>
      <c r="D16" s="164">
        <f>'4 Avskjutning&amp;Prognos'!H13</f>
        <v>2025</v>
      </c>
      <c r="E16" s="3"/>
    </row>
    <row r="17" spans="1:5" ht="14.25">
      <c r="A17" s="157" t="s">
        <v>40</v>
      </c>
      <c r="B17" s="439">
        <f>ROUND('4 Avskjutning&amp;Prognos'!F19,0)</f>
        <v>14</v>
      </c>
      <c r="C17" s="439">
        <f>ROUND('4 Avskjutning&amp;Prognos'!G19,0)</f>
        <v>14</v>
      </c>
      <c r="D17" s="439">
        <f>ROUND('4 Avskjutning&amp;Prognos'!H19,0)</f>
        <v>14</v>
      </c>
      <c r="E17" s="165" t="s">
        <v>264</v>
      </c>
    </row>
    <row r="18" spans="1:5" ht="14.25">
      <c r="A18" s="157" t="s">
        <v>137</v>
      </c>
      <c r="B18" s="439">
        <f>ROUND('4 Avskjutning&amp;Prognos'!F20,0)</f>
        <v>14</v>
      </c>
      <c r="C18" s="439">
        <f>ROUND('4 Avskjutning&amp;Prognos'!G20,0)</f>
        <v>14</v>
      </c>
      <c r="D18" s="439">
        <f>ROUND('4 Avskjutning&amp;Prognos'!H20,0)</f>
        <v>14</v>
      </c>
      <c r="E18" s="165" t="s">
        <v>265</v>
      </c>
    </row>
    <row r="19" spans="1:5" ht="14.25">
      <c r="A19" s="157" t="s">
        <v>39</v>
      </c>
      <c r="B19" s="439">
        <f>ROUND('4 Avskjutning&amp;Prognos'!F21,0)</f>
        <v>27</v>
      </c>
      <c r="C19" s="439">
        <f>ROUND('4 Avskjutning&amp;Prognos'!G21,0)</f>
        <v>26</v>
      </c>
      <c r="D19" s="439">
        <f>ROUND('4 Avskjutning&amp;Prognos'!H21,0)</f>
        <v>26</v>
      </c>
      <c r="E19" s="165" t="s">
        <v>266</v>
      </c>
    </row>
    <row r="20" spans="1:5" ht="14.25">
      <c r="A20" s="157"/>
      <c r="B20" s="166"/>
      <c r="C20" s="166"/>
      <c r="D20" s="166"/>
      <c r="E20" s="3"/>
    </row>
    <row r="21" spans="1:5" ht="14.25">
      <c r="A21" s="3"/>
      <c r="B21" s="3"/>
      <c r="C21" s="3"/>
      <c r="D21" s="3"/>
      <c r="E21" s="3"/>
    </row>
    <row r="22" spans="1:5" ht="14.25">
      <c r="A22" s="275" t="s">
        <v>155</v>
      </c>
      <c r="B22" s="27"/>
      <c r="C22" s="27"/>
      <c r="D22" s="27"/>
      <c r="E22" s="27"/>
    </row>
    <row r="23" spans="1:5" ht="14.25">
      <c r="A23" s="3"/>
      <c r="B23" s="27"/>
      <c r="C23" s="27"/>
      <c r="D23" s="27"/>
      <c r="E23" s="27"/>
    </row>
    <row r="24" spans="1:5" ht="14.25">
      <c r="A24" s="275" t="s">
        <v>154</v>
      </c>
      <c r="B24" s="27"/>
      <c r="C24" s="27"/>
      <c r="D24" s="27"/>
      <c r="E24" s="27"/>
    </row>
    <row r="25" spans="1:5" ht="14.25">
      <c r="A25" s="3"/>
      <c r="B25" s="27"/>
      <c r="C25" s="27"/>
      <c r="D25" s="27"/>
      <c r="E25" s="27"/>
    </row>
    <row r="26" spans="1:5" ht="14.25">
      <c r="A26" s="27" t="s">
        <v>153</v>
      </c>
      <c r="B26" s="27"/>
      <c r="C26" s="27"/>
      <c r="D26" s="27"/>
      <c r="E26" s="27"/>
    </row>
    <row r="27" spans="1:5" ht="14.25">
      <c r="A27" s="27"/>
      <c r="B27" s="27"/>
      <c r="C27" s="27"/>
      <c r="D27" s="27"/>
      <c r="E27" s="27"/>
    </row>
    <row r="28" spans="1:5" ht="15">
      <c r="A28" s="167" t="s">
        <v>152</v>
      </c>
      <c r="B28" s="27"/>
      <c r="C28" s="27"/>
      <c r="D28" s="27"/>
      <c r="E28" s="27"/>
    </row>
    <row r="29" spans="1:5" ht="14.25">
      <c r="A29" s="27"/>
      <c r="B29" s="27"/>
      <c r="C29" s="27"/>
      <c r="D29" s="27"/>
      <c r="E29" s="27"/>
    </row>
    <row r="30" spans="1:5" ht="14.25">
      <c r="A30" s="27"/>
      <c r="B30" s="27"/>
      <c r="C30" s="27"/>
      <c r="D30" s="27"/>
      <c r="E30" s="27"/>
    </row>
  </sheetData>
  <sheetProtection password="DAF7" sheet="1" objects="1"/>
  <mergeCells count="1">
    <mergeCell ref="A1:E1"/>
  </mergeCells>
  <printOptions/>
  <pageMargins left="0.7" right="0.7" top="0.75" bottom="0.75" header="0.3" footer="0.3"/>
  <pageSetup horizontalDpi="360" verticalDpi="360" orientation="portrait" paperSize="9" scale="8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C1:J30"/>
  <sheetViews>
    <sheetView showGridLines="0" showRowColHeaders="0" zoomScale="75" zoomScaleNormal="75" zoomScaleSheetLayoutView="75" zoomScalePageLayoutView="50" workbookViewId="0" topLeftCell="A13">
      <selection activeCell="A45" sqref="A45"/>
    </sheetView>
  </sheetViews>
  <sheetFormatPr defaultColWidth="0" defaultRowHeight="13.5" customHeight="1" zeroHeight="1"/>
  <cols>
    <col min="1" max="1" width="6.625" style="4" customWidth="1"/>
    <col min="2" max="2" width="1.625" style="5" customWidth="1"/>
    <col min="3" max="10" width="8.625" style="0" customWidth="1"/>
    <col min="11" max="16384" width="8.625" style="3" hidden="1" customWidth="1"/>
  </cols>
  <sheetData>
    <row r="1" ht="13.5" customHeight="1">
      <c r="C1" s="9"/>
    </row>
    <row r="2" spans="4:10" ht="13.5" customHeight="1">
      <c r="D2" s="6"/>
      <c r="E2" s="9"/>
      <c r="F2" s="9"/>
      <c r="G2" s="9"/>
      <c r="H2" s="9"/>
      <c r="I2" s="9"/>
      <c r="J2" s="9"/>
    </row>
    <row r="3" ht="13.5" customHeight="1"/>
    <row r="4" ht="13.5" customHeight="1">
      <c r="D4" s="10"/>
    </row>
    <row r="5" spans="4:10" ht="13.5" customHeight="1">
      <c r="D5" s="11"/>
      <c r="E5" s="11"/>
      <c r="F5" s="11"/>
      <c r="G5" s="11"/>
      <c r="H5" s="11"/>
      <c r="I5" s="11"/>
      <c r="J5" s="11"/>
    </row>
    <row r="6" spans="4:10" ht="13.5" customHeight="1">
      <c r="D6" s="11"/>
      <c r="E6" s="11"/>
      <c r="F6" s="11"/>
      <c r="G6" s="11"/>
      <c r="H6" s="11"/>
      <c r="I6" s="11"/>
      <c r="J6" s="11"/>
    </row>
    <row r="7" spans="4:10" ht="13.5" customHeight="1">
      <c r="D7" s="11"/>
      <c r="E7" s="11"/>
      <c r="F7" s="11"/>
      <c r="G7" s="11"/>
      <c r="H7" s="11"/>
      <c r="I7" s="11"/>
      <c r="J7" s="11"/>
    </row>
    <row r="8" spans="4:10" ht="13.5" customHeight="1">
      <c r="D8" s="11"/>
      <c r="E8" s="11"/>
      <c r="F8" s="11"/>
      <c r="G8" s="11"/>
      <c r="H8" s="11"/>
      <c r="I8" s="11"/>
      <c r="J8" s="11"/>
    </row>
    <row r="9" spans="4:10" ht="13.5" customHeight="1">
      <c r="D9" s="11"/>
      <c r="E9" s="11"/>
      <c r="F9" s="11"/>
      <c r="G9" s="11"/>
      <c r="H9" s="11"/>
      <c r="I9" s="11"/>
      <c r="J9" s="11"/>
    </row>
    <row r="10" spans="4:10" ht="13.5" customHeight="1">
      <c r="D10" s="11"/>
      <c r="E10" s="11"/>
      <c r="F10" s="11"/>
      <c r="G10" s="11"/>
      <c r="H10" s="11"/>
      <c r="I10" s="11"/>
      <c r="J10" s="11"/>
    </row>
    <row r="11" spans="4:10" ht="13.5" customHeight="1">
      <c r="D11" s="11"/>
      <c r="E11" s="11"/>
      <c r="F11" s="11"/>
      <c r="G11" s="11"/>
      <c r="H11" s="11"/>
      <c r="I11" s="11"/>
      <c r="J11" s="11"/>
    </row>
    <row r="12" spans="4:10" ht="13.5" customHeight="1">
      <c r="D12" s="11"/>
      <c r="E12" s="11"/>
      <c r="F12" s="11"/>
      <c r="G12" s="11"/>
      <c r="H12" s="11"/>
      <c r="I12" s="11"/>
      <c r="J12" s="11"/>
    </row>
    <row r="13" ht="13.5" customHeight="1"/>
    <row r="14" ht="13.5" customHeight="1">
      <c r="D14" s="10"/>
    </row>
    <row r="15" spans="4:10" ht="13.5" customHeight="1">
      <c r="D15" s="460"/>
      <c r="E15" s="459"/>
      <c r="F15" s="459"/>
      <c r="G15" s="459"/>
      <c r="H15" s="23"/>
      <c r="I15" s="23"/>
      <c r="J15" s="23"/>
    </row>
    <row r="16" spans="4:10" ht="13.5" customHeight="1">
      <c r="D16" s="459"/>
      <c r="E16" s="459"/>
      <c r="F16" s="459"/>
      <c r="G16" s="459"/>
      <c r="H16" s="23"/>
      <c r="I16" s="23"/>
      <c r="J16" s="23"/>
    </row>
    <row r="17" spans="4:10" ht="13.5" customHeight="1">
      <c r="D17" s="459"/>
      <c r="E17" s="459"/>
      <c r="F17" s="459"/>
      <c r="G17" s="459"/>
      <c r="H17" s="23"/>
      <c r="I17" s="23"/>
      <c r="J17" s="23"/>
    </row>
    <row r="18" spans="4:10" ht="13.5" customHeight="1">
      <c r="D18" s="459"/>
      <c r="E18" s="459"/>
      <c r="F18" s="459"/>
      <c r="G18" s="459"/>
      <c r="H18" s="23"/>
      <c r="I18" s="23"/>
      <c r="J18" s="23"/>
    </row>
    <row r="19" spans="4:10" ht="13.5" customHeight="1">
      <c r="D19" s="459"/>
      <c r="E19" s="459"/>
      <c r="F19" s="459"/>
      <c r="G19" s="459"/>
      <c r="H19" s="23"/>
      <c r="I19" s="23"/>
      <c r="J19" s="23"/>
    </row>
    <row r="20" spans="4:10" ht="13.5" customHeight="1">
      <c r="D20" s="459"/>
      <c r="E20" s="459"/>
      <c r="F20" s="459"/>
      <c r="G20" s="459"/>
      <c r="H20" s="23"/>
      <c r="I20" s="23"/>
      <c r="J20" s="23"/>
    </row>
    <row r="21" spans="4:10" ht="13.5" customHeight="1">
      <c r="D21" s="459"/>
      <c r="E21" s="459"/>
      <c r="F21" s="459"/>
      <c r="G21" s="459"/>
      <c r="H21" s="23"/>
      <c r="I21" s="23"/>
      <c r="J21" s="23"/>
    </row>
    <row r="22" spans="4:10" ht="13.5" customHeight="1">
      <c r="D22" s="459"/>
      <c r="E22" s="459"/>
      <c r="F22" s="459"/>
      <c r="G22" s="459"/>
      <c r="H22" s="23"/>
      <c r="I22" s="23"/>
      <c r="J22" s="23"/>
    </row>
    <row r="23" spans="4:10" ht="13.5" customHeight="1">
      <c r="D23" s="459"/>
      <c r="E23" s="459"/>
      <c r="F23" s="459"/>
      <c r="G23" s="459"/>
      <c r="H23" s="23"/>
      <c r="I23" s="23"/>
      <c r="J23" s="23"/>
    </row>
    <row r="24" spans="4:10" ht="13.5" customHeight="1">
      <c r="D24" s="459"/>
      <c r="E24" s="459"/>
      <c r="F24" s="459"/>
      <c r="G24" s="459"/>
      <c r="H24" s="23"/>
      <c r="I24" s="23"/>
      <c r="J24" s="23"/>
    </row>
    <row r="25" spans="4:10" ht="13.5" customHeight="1">
      <c r="D25" s="459"/>
      <c r="E25" s="459"/>
      <c r="F25" s="459"/>
      <c r="G25" s="459"/>
      <c r="H25" s="23"/>
      <c r="I25" s="23"/>
      <c r="J25" s="23"/>
    </row>
    <row r="26" spans="4:10" ht="13.5" customHeight="1">
      <c r="D26" s="459"/>
      <c r="E26" s="459"/>
      <c r="F26" s="459"/>
      <c r="G26" s="459"/>
      <c r="H26" s="23"/>
      <c r="I26" s="23"/>
      <c r="J26" s="23"/>
    </row>
    <row r="27" ht="13.5" customHeight="1"/>
    <row r="28" ht="13.5" customHeight="1">
      <c r="D28" s="10"/>
    </row>
    <row r="29" spans="4:10" ht="13.5" customHeight="1">
      <c r="D29" s="461"/>
      <c r="E29" s="459"/>
      <c r="F29" s="459"/>
      <c r="G29" s="459"/>
      <c r="H29" s="23"/>
      <c r="I29" s="23"/>
      <c r="J29" s="23"/>
    </row>
    <row r="30" spans="4:10" ht="13.5" customHeight="1">
      <c r="D30" s="459"/>
      <c r="E30" s="459"/>
      <c r="F30" s="459"/>
      <c r="G30" s="459"/>
      <c r="H30" s="23"/>
      <c r="I30" s="23"/>
      <c r="J30" s="23"/>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6" customHeight="1"/>
  </sheetData>
  <sheetProtection sheet="1" objects="1" scenarios="1" selectLockedCells="1" selectUnlockedCells="1"/>
  <mergeCells count="2">
    <mergeCell ref="D15:G26"/>
    <mergeCell ref="D29:G30"/>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2"/>
  <headerFooter>
    <oddHeader xml:space="preserve">&amp;C </oddHeader>
    <oddFooter xml:space="preserve">&amp;C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0"/>
  <sheetViews>
    <sheetView showRowColHeaders="0" zoomScale="75" zoomScaleNormal="75" zoomScaleSheetLayoutView="75" zoomScalePageLayoutView="50" workbookViewId="0" topLeftCell="A1">
      <selection activeCell="D1" sqref="D1"/>
    </sheetView>
  </sheetViews>
  <sheetFormatPr defaultColWidth="0" defaultRowHeight="14.25" zeroHeight="1"/>
  <cols>
    <col min="1" max="1" width="6.625" style="1" customWidth="1"/>
    <col min="2" max="2" width="1.625" style="2" customWidth="1"/>
    <col min="3" max="3" width="4.625" style="3" customWidth="1"/>
    <col min="4" max="12" width="7.625" style="3" customWidth="1"/>
    <col min="13" max="13" width="7.625" style="0" customWidth="1"/>
    <col min="14" max="14" width="4.625" style="3" customWidth="1"/>
    <col min="15" max="255" width="0" style="3" hidden="1" customWidth="1"/>
    <col min="256" max="16384" width="4.625" style="3" hidden="1" customWidth="1"/>
  </cols>
  <sheetData>
    <row r="1" spans="1:14" ht="14.25">
      <c r="A1" s="4"/>
      <c r="B1" s="5"/>
      <c r="C1" s="25"/>
      <c r="D1" s="26"/>
      <c r="E1" s="26"/>
      <c r="F1" s="26"/>
      <c r="G1" s="26"/>
      <c r="H1" s="26"/>
      <c r="I1" s="26"/>
      <c r="J1" s="26"/>
      <c r="K1" s="26"/>
      <c r="L1" s="27"/>
      <c r="M1" s="27"/>
      <c r="N1" s="27"/>
    </row>
    <row r="2" spans="1:14" ht="23.25">
      <c r="A2" s="4"/>
      <c r="B2" s="5"/>
      <c r="C2" s="26"/>
      <c r="D2" s="464" t="s">
        <v>45</v>
      </c>
      <c r="E2" s="465"/>
      <c r="F2" s="465"/>
      <c r="G2" s="465"/>
      <c r="H2" s="465"/>
      <c r="I2" s="465"/>
      <c r="J2" s="465"/>
      <c r="K2" s="466"/>
      <c r="L2" s="466"/>
      <c r="M2" s="466"/>
      <c r="N2" s="27"/>
    </row>
    <row r="3" spans="1:14" ht="14.25" customHeight="1">
      <c r="A3" s="4"/>
      <c r="B3" s="5"/>
      <c r="C3" s="26"/>
      <c r="D3" s="26"/>
      <c r="E3" s="26"/>
      <c r="F3" s="26"/>
      <c r="G3" s="26"/>
      <c r="H3" s="26"/>
      <c r="I3" s="26"/>
      <c r="J3" s="26"/>
      <c r="K3" s="26"/>
      <c r="L3" s="27"/>
      <c r="M3" s="27"/>
      <c r="N3" s="27"/>
    </row>
    <row r="4" spans="1:14" ht="14.25" customHeight="1">
      <c r="A4" s="4"/>
      <c r="B4" s="5"/>
      <c r="C4" s="26"/>
      <c r="D4" s="39" t="s">
        <v>0</v>
      </c>
      <c r="E4" s="26"/>
      <c r="F4" s="26"/>
      <c r="G4" s="26"/>
      <c r="H4" s="26"/>
      <c r="I4" s="26"/>
      <c r="J4" s="26"/>
      <c r="K4" s="26"/>
      <c r="L4" s="27"/>
      <c r="M4" s="27"/>
      <c r="N4" s="27"/>
    </row>
    <row r="5" spans="1:14" ht="14.25" customHeight="1">
      <c r="A5" s="4"/>
      <c r="B5" s="5"/>
      <c r="C5" s="26"/>
      <c r="D5" s="462" t="s">
        <v>108</v>
      </c>
      <c r="E5" s="462"/>
      <c r="F5" s="462"/>
      <c r="G5" s="462"/>
      <c r="H5" s="462"/>
      <c r="I5" s="462"/>
      <c r="J5" s="462"/>
      <c r="K5" s="458"/>
      <c r="L5" s="458"/>
      <c r="M5" s="458"/>
      <c r="N5" s="27"/>
    </row>
    <row r="6" spans="1:14" ht="14.25" customHeight="1">
      <c r="A6" s="4"/>
      <c r="B6" s="5"/>
      <c r="C6" s="26"/>
      <c r="D6" s="462"/>
      <c r="E6" s="462"/>
      <c r="F6" s="462"/>
      <c r="G6" s="462"/>
      <c r="H6" s="462"/>
      <c r="I6" s="462"/>
      <c r="J6" s="462"/>
      <c r="K6" s="458"/>
      <c r="L6" s="458"/>
      <c r="M6" s="458"/>
      <c r="N6" s="27"/>
    </row>
    <row r="7" spans="1:14" ht="14.25" customHeight="1">
      <c r="A7" s="4"/>
      <c r="B7" s="5"/>
      <c r="C7" s="26"/>
      <c r="D7" s="462"/>
      <c r="E7" s="462"/>
      <c r="F7" s="462"/>
      <c r="G7" s="462"/>
      <c r="H7" s="462"/>
      <c r="I7" s="462"/>
      <c r="J7" s="462"/>
      <c r="K7" s="458"/>
      <c r="L7" s="458"/>
      <c r="M7" s="458"/>
      <c r="N7" s="27"/>
    </row>
    <row r="8" spans="1:14" ht="14.25" customHeight="1">
      <c r="A8" s="4"/>
      <c r="B8" s="5"/>
      <c r="C8" s="26"/>
      <c r="D8" s="462"/>
      <c r="E8" s="462"/>
      <c r="F8" s="462"/>
      <c r="G8" s="462"/>
      <c r="H8" s="462"/>
      <c r="I8" s="462"/>
      <c r="J8" s="462"/>
      <c r="K8" s="458"/>
      <c r="L8" s="458"/>
      <c r="M8" s="458"/>
      <c r="N8" s="27"/>
    </row>
    <row r="9" spans="1:14" ht="14.25" customHeight="1">
      <c r="A9" s="4"/>
      <c r="B9" s="5"/>
      <c r="C9" s="26"/>
      <c r="D9" s="462"/>
      <c r="E9" s="462"/>
      <c r="F9" s="462"/>
      <c r="G9" s="462"/>
      <c r="H9" s="462"/>
      <c r="I9" s="462"/>
      <c r="J9" s="462"/>
      <c r="K9" s="458"/>
      <c r="L9" s="458"/>
      <c r="M9" s="458"/>
      <c r="N9" s="27"/>
    </row>
    <row r="10" spans="1:14" ht="14.25" customHeight="1">
      <c r="A10" s="4"/>
      <c r="B10" s="5"/>
      <c r="C10" s="26"/>
      <c r="D10" s="39" t="s">
        <v>250</v>
      </c>
      <c r="E10" s="26"/>
      <c r="F10" s="26"/>
      <c r="G10" s="26"/>
      <c r="H10" s="26"/>
      <c r="I10" s="26"/>
      <c r="J10" s="26"/>
      <c r="K10" s="26"/>
      <c r="L10" s="27"/>
      <c r="M10" s="27"/>
      <c r="N10" s="27"/>
    </row>
    <row r="11" spans="1:14" ht="14.25" customHeight="1">
      <c r="A11" s="4"/>
      <c r="B11" s="5"/>
      <c r="C11" s="26"/>
      <c r="D11" s="462" t="s">
        <v>251</v>
      </c>
      <c r="E11" s="467"/>
      <c r="F11" s="467"/>
      <c r="G11" s="467"/>
      <c r="H11" s="467"/>
      <c r="I11" s="467"/>
      <c r="J11" s="467"/>
      <c r="K11" s="467"/>
      <c r="L11" s="467"/>
      <c r="M11" s="467"/>
      <c r="N11" s="27"/>
    </row>
    <row r="12" spans="1:14" ht="14.25" customHeight="1">
      <c r="A12" s="4"/>
      <c r="B12" s="5"/>
      <c r="C12" s="26"/>
      <c r="D12" s="467"/>
      <c r="E12" s="467"/>
      <c r="F12" s="467"/>
      <c r="G12" s="467"/>
      <c r="H12" s="467"/>
      <c r="I12" s="467"/>
      <c r="J12" s="467"/>
      <c r="K12" s="467"/>
      <c r="L12" s="467"/>
      <c r="M12" s="467"/>
      <c r="N12" s="27"/>
    </row>
    <row r="13" spans="1:14" ht="14.25" customHeight="1">
      <c r="A13" s="4"/>
      <c r="B13" s="5"/>
      <c r="C13" s="26"/>
      <c r="D13" s="467"/>
      <c r="E13" s="467"/>
      <c r="F13" s="467"/>
      <c r="G13" s="467"/>
      <c r="H13" s="467"/>
      <c r="I13" s="467"/>
      <c r="J13" s="467"/>
      <c r="K13" s="467"/>
      <c r="L13" s="467"/>
      <c r="M13" s="467"/>
      <c r="N13" s="27"/>
    </row>
    <row r="14" spans="1:14" ht="14.25" customHeight="1">
      <c r="A14" s="4"/>
      <c r="B14" s="5"/>
      <c r="C14" s="26"/>
      <c r="D14" s="467"/>
      <c r="E14" s="467"/>
      <c r="F14" s="467"/>
      <c r="G14" s="467"/>
      <c r="H14" s="467"/>
      <c r="I14" s="467"/>
      <c r="J14" s="467"/>
      <c r="K14" s="467"/>
      <c r="L14" s="467"/>
      <c r="M14" s="467"/>
      <c r="N14" s="27"/>
    </row>
    <row r="15" spans="1:14" ht="14.25" customHeight="1">
      <c r="A15" s="4"/>
      <c r="B15" s="5"/>
      <c r="C15" s="26"/>
      <c r="D15" s="467"/>
      <c r="E15" s="467"/>
      <c r="F15" s="467"/>
      <c r="G15" s="467"/>
      <c r="H15" s="467"/>
      <c r="I15" s="467"/>
      <c r="J15" s="467"/>
      <c r="K15" s="467"/>
      <c r="L15" s="467"/>
      <c r="M15" s="467"/>
      <c r="N15" s="27"/>
    </row>
    <row r="16" spans="1:14" ht="14.25" customHeight="1">
      <c r="A16" s="4"/>
      <c r="B16" s="5"/>
      <c r="C16" s="26"/>
      <c r="D16" s="39" t="s">
        <v>60</v>
      </c>
      <c r="E16" s="26"/>
      <c r="F16" s="26"/>
      <c r="G16" s="26"/>
      <c r="H16" s="26"/>
      <c r="I16" s="26"/>
      <c r="J16" s="26"/>
      <c r="K16" s="26"/>
      <c r="L16" s="27"/>
      <c r="M16" s="27"/>
      <c r="N16" s="27"/>
    </row>
    <row r="17" spans="1:14" ht="14.25" customHeight="1">
      <c r="A17" s="4"/>
      <c r="B17" s="5"/>
      <c r="C17" s="26"/>
      <c r="D17" s="462" t="s">
        <v>109</v>
      </c>
      <c r="E17" s="458"/>
      <c r="F17" s="458"/>
      <c r="G17" s="458"/>
      <c r="H17" s="458"/>
      <c r="I17" s="458"/>
      <c r="J17" s="458"/>
      <c r="K17" s="458"/>
      <c r="L17" s="458"/>
      <c r="M17" s="458"/>
      <c r="N17" s="27"/>
    </row>
    <row r="18" spans="1:14" ht="14.25" customHeight="1">
      <c r="A18" s="4"/>
      <c r="B18" s="5"/>
      <c r="C18" s="26"/>
      <c r="D18" s="458"/>
      <c r="E18" s="458"/>
      <c r="F18" s="458"/>
      <c r="G18" s="458"/>
      <c r="H18" s="458"/>
      <c r="I18" s="458"/>
      <c r="J18" s="458"/>
      <c r="K18" s="458"/>
      <c r="L18" s="458"/>
      <c r="M18" s="458"/>
      <c r="N18" s="27"/>
    </row>
    <row r="19" spans="1:14" ht="14.25" customHeight="1">
      <c r="A19" s="4"/>
      <c r="B19" s="5"/>
      <c r="C19" s="26"/>
      <c r="D19" s="458"/>
      <c r="E19" s="458"/>
      <c r="F19" s="458"/>
      <c r="G19" s="458"/>
      <c r="H19" s="458"/>
      <c r="I19" s="458"/>
      <c r="J19" s="458"/>
      <c r="K19" s="458"/>
      <c r="L19" s="458"/>
      <c r="M19" s="458"/>
      <c r="N19" s="27"/>
    </row>
    <row r="20" spans="1:14" ht="14.25" customHeight="1">
      <c r="A20" s="4"/>
      <c r="B20" s="5"/>
      <c r="C20" s="26"/>
      <c r="D20" s="458"/>
      <c r="E20" s="458"/>
      <c r="F20" s="458"/>
      <c r="G20" s="458"/>
      <c r="H20" s="458"/>
      <c r="I20" s="458"/>
      <c r="J20" s="458"/>
      <c r="K20" s="458"/>
      <c r="L20" s="458"/>
      <c r="M20" s="458"/>
      <c r="N20" s="27"/>
    </row>
    <row r="21" spans="1:14" ht="14.25" customHeight="1">
      <c r="A21" s="4"/>
      <c r="B21" s="5"/>
      <c r="C21" s="26"/>
      <c r="D21" s="458"/>
      <c r="E21" s="458"/>
      <c r="F21" s="458"/>
      <c r="G21" s="458"/>
      <c r="H21" s="458"/>
      <c r="I21" s="458"/>
      <c r="J21" s="458"/>
      <c r="K21" s="458"/>
      <c r="L21" s="458"/>
      <c r="M21" s="458"/>
      <c r="N21" s="27"/>
    </row>
    <row r="22" spans="1:14" ht="14.25" customHeight="1">
      <c r="A22" s="4"/>
      <c r="B22" s="5"/>
      <c r="C22" s="26"/>
      <c r="D22" s="458"/>
      <c r="E22" s="458"/>
      <c r="F22" s="458"/>
      <c r="G22" s="458"/>
      <c r="H22" s="458"/>
      <c r="I22" s="458"/>
      <c r="J22" s="458"/>
      <c r="K22" s="458"/>
      <c r="L22" s="458"/>
      <c r="M22" s="458"/>
      <c r="N22" s="27"/>
    </row>
    <row r="23" spans="1:14" ht="14.25" customHeight="1">
      <c r="A23" s="4"/>
      <c r="B23" s="5"/>
      <c r="C23" s="26"/>
      <c r="D23" s="458"/>
      <c r="E23" s="458"/>
      <c r="F23" s="458"/>
      <c r="G23" s="458"/>
      <c r="H23" s="458"/>
      <c r="I23" s="458"/>
      <c r="J23" s="458"/>
      <c r="K23" s="458"/>
      <c r="L23" s="458"/>
      <c r="M23" s="458"/>
      <c r="N23" s="27"/>
    </row>
    <row r="24" spans="1:14" ht="14.25" customHeight="1">
      <c r="A24" s="4"/>
      <c r="B24" s="5"/>
      <c r="C24" s="26"/>
      <c r="D24" s="458"/>
      <c r="E24" s="458"/>
      <c r="F24" s="458"/>
      <c r="G24" s="458"/>
      <c r="H24" s="458"/>
      <c r="I24" s="458"/>
      <c r="J24" s="458"/>
      <c r="K24" s="458"/>
      <c r="L24" s="458"/>
      <c r="M24" s="458"/>
      <c r="N24" s="27"/>
    </row>
    <row r="25" spans="1:14" ht="14.25" customHeight="1">
      <c r="A25" s="4"/>
      <c r="B25" s="5"/>
      <c r="C25" s="26"/>
      <c r="D25" s="458"/>
      <c r="E25" s="458"/>
      <c r="F25" s="458"/>
      <c r="G25" s="458"/>
      <c r="H25" s="458"/>
      <c r="I25" s="458"/>
      <c r="J25" s="458"/>
      <c r="K25" s="458"/>
      <c r="L25" s="458"/>
      <c r="M25" s="458"/>
      <c r="N25" s="27"/>
    </row>
    <row r="26" spans="1:14" ht="14.25" customHeight="1">
      <c r="A26" s="4"/>
      <c r="B26" s="5"/>
      <c r="C26" s="26"/>
      <c r="D26" s="39" t="s">
        <v>1</v>
      </c>
      <c r="E26" s="26"/>
      <c r="F26" s="26"/>
      <c r="G26" s="26"/>
      <c r="H26" s="26"/>
      <c r="I26" s="26"/>
      <c r="J26" s="26"/>
      <c r="K26" s="26"/>
      <c r="L26" s="27"/>
      <c r="M26" s="27"/>
      <c r="N26" s="27"/>
    </row>
    <row r="27" spans="1:14" ht="14.25" customHeight="1">
      <c r="A27" s="4"/>
      <c r="B27" s="5"/>
      <c r="C27" s="26"/>
      <c r="D27" s="454" t="s">
        <v>107</v>
      </c>
      <c r="E27" s="463"/>
      <c r="F27" s="463"/>
      <c r="G27" s="463"/>
      <c r="H27" s="463"/>
      <c r="I27" s="463"/>
      <c r="J27" s="463"/>
      <c r="K27" s="463"/>
      <c r="L27" s="463"/>
      <c r="M27" s="463"/>
      <c r="N27" s="27"/>
    </row>
    <row r="28" spans="1:14" ht="14.25" customHeight="1">
      <c r="A28" s="4"/>
      <c r="B28" s="5"/>
      <c r="C28" s="26"/>
      <c r="D28" s="463"/>
      <c r="E28" s="463"/>
      <c r="F28" s="463"/>
      <c r="G28" s="463"/>
      <c r="H28" s="463"/>
      <c r="I28" s="463"/>
      <c r="J28" s="463"/>
      <c r="K28" s="463"/>
      <c r="L28" s="463"/>
      <c r="M28" s="463"/>
      <c r="N28" s="27"/>
    </row>
    <row r="29" spans="1:14" ht="14.25">
      <c r="A29" s="4"/>
      <c r="B29" s="5"/>
      <c r="C29" s="26"/>
      <c r="D29" s="463"/>
      <c r="E29" s="463"/>
      <c r="F29" s="463"/>
      <c r="G29" s="463"/>
      <c r="H29" s="463"/>
      <c r="I29" s="463"/>
      <c r="J29" s="463"/>
      <c r="K29" s="463"/>
      <c r="L29" s="463"/>
      <c r="M29" s="463"/>
      <c r="N29" s="27"/>
    </row>
    <row r="30" spans="1:14" ht="14.25">
      <c r="A30" s="4"/>
      <c r="B30" s="5"/>
      <c r="C30" s="26"/>
      <c r="D30" s="463"/>
      <c r="E30" s="463"/>
      <c r="F30" s="463"/>
      <c r="G30" s="463"/>
      <c r="H30" s="463"/>
      <c r="I30" s="463"/>
      <c r="J30" s="463"/>
      <c r="K30" s="463"/>
      <c r="L30" s="463"/>
      <c r="M30" s="463"/>
      <c r="N30" s="27"/>
    </row>
    <row r="31" spans="1:14" ht="14.25">
      <c r="A31" s="4"/>
      <c r="B31" s="5"/>
      <c r="C31" s="26"/>
      <c r="D31" s="463"/>
      <c r="E31" s="463"/>
      <c r="F31" s="463"/>
      <c r="G31" s="463"/>
      <c r="H31" s="463"/>
      <c r="I31" s="463"/>
      <c r="J31" s="463"/>
      <c r="K31" s="463"/>
      <c r="L31" s="463"/>
      <c r="M31" s="463"/>
      <c r="N31" s="27"/>
    </row>
    <row r="32" spans="1:14" ht="15">
      <c r="A32" s="4"/>
      <c r="B32" s="5"/>
      <c r="C32" s="26"/>
      <c r="D32" s="39" t="s">
        <v>2</v>
      </c>
      <c r="E32" s="26"/>
      <c r="F32" s="26"/>
      <c r="G32" s="26"/>
      <c r="H32" s="26"/>
      <c r="I32" s="26"/>
      <c r="J32" s="26"/>
      <c r="K32" s="26"/>
      <c r="L32" s="27"/>
      <c r="M32" s="27"/>
      <c r="N32" s="27"/>
    </row>
    <row r="33" spans="1:14" ht="14.25">
      <c r="A33" s="4"/>
      <c r="B33" s="5"/>
      <c r="C33" s="26"/>
      <c r="D33" s="462" t="s">
        <v>236</v>
      </c>
      <c r="E33" s="458"/>
      <c r="F33" s="458"/>
      <c r="G33" s="458"/>
      <c r="H33" s="458"/>
      <c r="I33" s="458"/>
      <c r="J33" s="458"/>
      <c r="K33" s="458"/>
      <c r="L33" s="458"/>
      <c r="M33" s="458"/>
      <c r="N33" s="27"/>
    </row>
    <row r="34" spans="1:14" ht="14.25">
      <c r="A34" s="4"/>
      <c r="B34" s="5"/>
      <c r="C34" s="26"/>
      <c r="D34" s="458"/>
      <c r="E34" s="458"/>
      <c r="F34" s="458"/>
      <c r="G34" s="458"/>
      <c r="H34" s="458"/>
      <c r="I34" s="458"/>
      <c r="J34" s="458"/>
      <c r="K34" s="458"/>
      <c r="L34" s="458"/>
      <c r="M34" s="458"/>
      <c r="N34" s="27"/>
    </row>
    <row r="35" spans="1:14" ht="14.25">
      <c r="A35" s="4"/>
      <c r="B35" s="5"/>
      <c r="C35" s="26"/>
      <c r="D35" s="458"/>
      <c r="E35" s="458"/>
      <c r="F35" s="458"/>
      <c r="G35" s="458"/>
      <c r="H35" s="458"/>
      <c r="I35" s="458"/>
      <c r="J35" s="458"/>
      <c r="K35" s="458"/>
      <c r="L35" s="458"/>
      <c r="M35" s="458"/>
      <c r="N35" s="27"/>
    </row>
    <row r="36" spans="1:14" ht="14.25" customHeight="1">
      <c r="A36" s="4"/>
      <c r="B36" s="5"/>
      <c r="C36" s="26"/>
      <c r="D36" s="458"/>
      <c r="E36" s="458"/>
      <c r="F36" s="458"/>
      <c r="G36" s="458"/>
      <c r="H36" s="458"/>
      <c r="I36" s="458"/>
      <c r="J36" s="458"/>
      <c r="K36" s="458"/>
      <c r="L36" s="458"/>
      <c r="M36" s="458"/>
      <c r="N36" s="27"/>
    </row>
    <row r="37" spans="1:14" ht="14.25" customHeight="1">
      <c r="A37" s="4"/>
      <c r="B37" s="5"/>
      <c r="C37" s="26"/>
      <c r="D37" s="458"/>
      <c r="E37" s="458"/>
      <c r="F37" s="458"/>
      <c r="G37" s="458"/>
      <c r="H37" s="458"/>
      <c r="I37" s="458"/>
      <c r="J37" s="458"/>
      <c r="K37" s="458"/>
      <c r="L37" s="458"/>
      <c r="M37" s="458"/>
      <c r="N37" s="27"/>
    </row>
    <row r="38" spans="1:14" ht="14.25" customHeight="1">
      <c r="A38" s="4"/>
      <c r="B38" s="5"/>
      <c r="C38" s="26"/>
      <c r="D38" s="458"/>
      <c r="E38" s="458"/>
      <c r="F38" s="458"/>
      <c r="G38" s="458"/>
      <c r="H38" s="458"/>
      <c r="I38" s="458"/>
      <c r="J38" s="458"/>
      <c r="K38" s="458"/>
      <c r="L38" s="458"/>
      <c r="M38" s="458"/>
      <c r="N38" s="27"/>
    </row>
    <row r="39" spans="1:14" ht="14.25" customHeight="1">
      <c r="A39" s="4"/>
      <c r="B39" s="5"/>
      <c r="C39" s="26"/>
      <c r="D39" s="458"/>
      <c r="E39" s="458"/>
      <c r="F39" s="458"/>
      <c r="G39" s="458"/>
      <c r="H39" s="458"/>
      <c r="I39" s="458"/>
      <c r="J39" s="458"/>
      <c r="K39" s="458"/>
      <c r="L39" s="458"/>
      <c r="M39" s="458"/>
      <c r="N39" s="27"/>
    </row>
    <row r="40" spans="1:14" ht="14.25">
      <c r="A40" s="4"/>
      <c r="B40" s="5"/>
      <c r="C40" s="26"/>
      <c r="D40" s="458"/>
      <c r="E40" s="458"/>
      <c r="F40" s="458"/>
      <c r="G40" s="458"/>
      <c r="H40" s="458"/>
      <c r="I40" s="458"/>
      <c r="J40" s="458"/>
      <c r="K40" s="458"/>
      <c r="L40" s="458"/>
      <c r="M40" s="458"/>
      <c r="N40" s="27"/>
    </row>
    <row r="41" spans="1:14" ht="14.25">
      <c r="A41" s="4"/>
      <c r="B41" s="5"/>
      <c r="C41" s="26"/>
      <c r="D41" s="458"/>
      <c r="E41" s="458"/>
      <c r="F41" s="458"/>
      <c r="G41" s="458"/>
      <c r="H41" s="458"/>
      <c r="I41" s="458"/>
      <c r="J41" s="458"/>
      <c r="K41" s="458"/>
      <c r="L41" s="458"/>
      <c r="M41" s="458"/>
      <c r="N41" s="27"/>
    </row>
    <row r="42" spans="3:14" ht="14.25">
      <c r="C42" s="27"/>
      <c r="D42" s="458"/>
      <c r="E42" s="458"/>
      <c r="F42" s="458"/>
      <c r="G42" s="458"/>
      <c r="H42" s="458"/>
      <c r="I42" s="458"/>
      <c r="J42" s="458"/>
      <c r="K42" s="458"/>
      <c r="L42" s="458"/>
      <c r="M42" s="458"/>
      <c r="N42" s="27"/>
    </row>
    <row r="43" spans="3:14" ht="14.25">
      <c r="C43" s="27"/>
      <c r="D43" s="458"/>
      <c r="E43" s="458"/>
      <c r="F43" s="458"/>
      <c r="G43" s="458"/>
      <c r="H43" s="458"/>
      <c r="I43" s="458"/>
      <c r="J43" s="458"/>
      <c r="K43" s="458"/>
      <c r="L43" s="458"/>
      <c r="M43" s="458"/>
      <c r="N43" s="27"/>
    </row>
    <row r="44" spans="1:13" s="27" customFormat="1" ht="14.25">
      <c r="A44" s="1"/>
      <c r="B44" s="2"/>
      <c r="M44" s="26"/>
    </row>
    <row r="45" spans="1:13" s="27" customFormat="1" ht="14.25">
      <c r="A45" s="1"/>
      <c r="B45" s="2"/>
      <c r="M45" s="26"/>
    </row>
    <row r="46" spans="1:13" s="27" customFormat="1" ht="14.25">
      <c r="A46" s="1"/>
      <c r="B46" s="2"/>
      <c r="M46" s="26"/>
    </row>
    <row r="47" spans="1:13" s="27" customFormat="1" ht="14.25">
      <c r="A47" s="1"/>
      <c r="B47" s="2"/>
      <c r="M47" s="26"/>
    </row>
    <row r="48" spans="1:13" s="27" customFormat="1" ht="14.25">
      <c r="A48" s="1"/>
      <c r="B48" s="2"/>
      <c r="M48" s="26"/>
    </row>
    <row r="49" spans="1:13" s="27" customFormat="1" ht="14.25">
      <c r="A49" s="1"/>
      <c r="B49" s="2"/>
      <c r="M49" s="26"/>
    </row>
    <row r="50" spans="1:13" s="27" customFormat="1" ht="14.25">
      <c r="A50" s="1"/>
      <c r="B50" s="2"/>
      <c r="M50" s="26"/>
    </row>
  </sheetData>
  <sheetProtection password="DAF7" sheet="1" objects="1" selectLockedCells="1" selectUnlockedCells="1"/>
  <mergeCells count="6">
    <mergeCell ref="D33:M43"/>
    <mergeCell ref="D27:M31"/>
    <mergeCell ref="D17:M25"/>
    <mergeCell ref="D2:M2"/>
    <mergeCell ref="D5:M9"/>
    <mergeCell ref="D11:M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2"/>
  <headerFooter>
    <oddHeader xml:space="preserve">&amp;C </oddHeader>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8"/>
  <sheetViews>
    <sheetView showRowColHeaders="0" zoomScale="75" zoomScaleNormal="75" zoomScaleSheetLayoutView="75" zoomScalePageLayoutView="75" workbookViewId="0" topLeftCell="A30">
      <selection activeCell="D2" sqref="D2:M2"/>
    </sheetView>
  </sheetViews>
  <sheetFormatPr defaultColWidth="0" defaultRowHeight="14.25" zeroHeight="1"/>
  <cols>
    <col min="1" max="1" width="6.625" style="1" customWidth="1"/>
    <col min="2" max="2" width="1.625" style="2" customWidth="1"/>
    <col min="3" max="3" width="4.625" style="27" customWidth="1"/>
    <col min="4" max="12" width="7.625" style="27" customWidth="1"/>
    <col min="13" max="13" width="7.625" style="26" customWidth="1"/>
    <col min="14" max="14" width="4.625" style="27" customWidth="1"/>
    <col min="15" max="16384" width="8.625" style="3" hidden="1" customWidth="1"/>
  </cols>
  <sheetData>
    <row r="1" spans="1:13" ht="14.25" customHeight="1">
      <c r="A1" s="4"/>
      <c r="B1" s="5"/>
      <c r="C1" s="26"/>
      <c r="D1" s="26"/>
      <c r="E1" s="26"/>
      <c r="F1" s="26"/>
      <c r="G1" s="26"/>
      <c r="H1" s="26"/>
      <c r="I1" s="26"/>
      <c r="J1" s="26"/>
      <c r="K1" s="26"/>
      <c r="M1" s="27"/>
    </row>
    <row r="2" spans="1:13" ht="23.25">
      <c r="A2" s="4"/>
      <c r="B2" s="5"/>
      <c r="C2" s="26"/>
      <c r="D2" s="464" t="s">
        <v>3</v>
      </c>
      <c r="E2" s="465"/>
      <c r="F2" s="465"/>
      <c r="G2" s="465"/>
      <c r="H2" s="465"/>
      <c r="I2" s="465"/>
      <c r="J2" s="465"/>
      <c r="K2" s="472"/>
      <c r="L2" s="472"/>
      <c r="M2" s="472"/>
    </row>
    <row r="3" spans="1:13" ht="12" customHeight="1">
      <c r="A3" s="4"/>
      <c r="B3" s="5"/>
      <c r="C3" s="26"/>
      <c r="D3" s="26"/>
      <c r="E3" s="26"/>
      <c r="F3" s="26"/>
      <c r="G3" s="26"/>
      <c r="H3" s="26"/>
      <c r="I3" s="26"/>
      <c r="J3" s="26"/>
      <c r="K3" s="26"/>
      <c r="M3" s="27"/>
    </row>
    <row r="4" spans="1:20" ht="12" customHeight="1">
      <c r="A4" s="4"/>
      <c r="B4" s="5"/>
      <c r="C4" s="26"/>
      <c r="D4" s="473" t="s">
        <v>138</v>
      </c>
      <c r="E4" s="473"/>
      <c r="F4" s="473"/>
      <c r="G4" s="473"/>
      <c r="H4" s="473"/>
      <c r="I4" s="473"/>
      <c r="J4" s="473"/>
      <c r="K4" s="458"/>
      <c r="L4" s="458"/>
      <c r="M4" s="458"/>
      <c r="P4"/>
      <c r="Q4"/>
      <c r="R4"/>
      <c r="S4"/>
      <c r="T4"/>
    </row>
    <row r="5" spans="1:20" ht="12" customHeight="1">
      <c r="A5" s="4"/>
      <c r="B5" s="5"/>
      <c r="C5" s="26"/>
      <c r="D5" s="473"/>
      <c r="E5" s="473"/>
      <c r="F5" s="473"/>
      <c r="G5" s="473"/>
      <c r="H5" s="473"/>
      <c r="I5" s="473"/>
      <c r="J5" s="473"/>
      <c r="K5" s="458"/>
      <c r="L5" s="458"/>
      <c r="M5" s="458"/>
      <c r="P5"/>
      <c r="Q5"/>
      <c r="R5"/>
      <c r="S5"/>
      <c r="T5"/>
    </row>
    <row r="6" spans="1:20" ht="12" customHeight="1">
      <c r="A6" s="4"/>
      <c r="B6" s="5"/>
      <c r="C6" s="26"/>
      <c r="D6" s="473"/>
      <c r="E6" s="473"/>
      <c r="F6" s="473"/>
      <c r="G6" s="473"/>
      <c r="H6" s="473"/>
      <c r="I6" s="473"/>
      <c r="J6" s="473"/>
      <c r="K6" s="458"/>
      <c r="L6" s="458"/>
      <c r="M6" s="458"/>
      <c r="P6"/>
      <c r="Q6"/>
      <c r="R6"/>
      <c r="S6"/>
      <c r="T6"/>
    </row>
    <row r="7" spans="1:20" ht="12" customHeight="1">
      <c r="A7" s="4"/>
      <c r="B7" s="5"/>
      <c r="C7" s="26"/>
      <c r="D7" s="473"/>
      <c r="E7" s="473"/>
      <c r="F7" s="473"/>
      <c r="G7" s="473"/>
      <c r="H7" s="473"/>
      <c r="I7" s="473"/>
      <c r="J7" s="473"/>
      <c r="K7" s="458"/>
      <c r="L7" s="458"/>
      <c r="M7" s="458"/>
      <c r="P7"/>
      <c r="Q7"/>
      <c r="R7"/>
      <c r="S7"/>
      <c r="T7"/>
    </row>
    <row r="8" spans="1:20" ht="12" customHeight="1">
      <c r="A8" s="4"/>
      <c r="B8" s="5"/>
      <c r="C8" s="26"/>
      <c r="D8" s="458"/>
      <c r="E8" s="458"/>
      <c r="F8" s="458"/>
      <c r="G8" s="458"/>
      <c r="H8" s="458"/>
      <c r="I8" s="458"/>
      <c r="J8" s="458"/>
      <c r="K8" s="458"/>
      <c r="L8" s="458"/>
      <c r="M8" s="458"/>
      <c r="T8"/>
    </row>
    <row r="9" spans="1:20" ht="12" customHeight="1">
      <c r="A9" s="4"/>
      <c r="B9" s="5"/>
      <c r="C9" s="26"/>
      <c r="D9" s="458"/>
      <c r="E9" s="458"/>
      <c r="F9" s="458"/>
      <c r="G9" s="458"/>
      <c r="H9" s="458"/>
      <c r="I9" s="458"/>
      <c r="J9" s="458"/>
      <c r="K9" s="458"/>
      <c r="L9" s="458"/>
      <c r="M9" s="458"/>
      <c r="P9"/>
      <c r="Q9"/>
      <c r="R9"/>
      <c r="S9"/>
      <c r="T9"/>
    </row>
    <row r="10" spans="1:20" ht="12" customHeight="1">
      <c r="A10" s="4"/>
      <c r="B10" s="5"/>
      <c r="C10" s="26"/>
      <c r="D10" s="473" t="s">
        <v>255</v>
      </c>
      <c r="E10" s="474"/>
      <c r="F10" s="474"/>
      <c r="G10" s="474"/>
      <c r="H10" s="474"/>
      <c r="I10" s="474"/>
      <c r="J10" s="474"/>
      <c r="K10" s="475"/>
      <c r="L10" s="475"/>
      <c r="M10" s="475"/>
      <c r="T10"/>
    </row>
    <row r="11" spans="1:20" ht="12" customHeight="1">
      <c r="A11" s="4"/>
      <c r="B11" s="5"/>
      <c r="C11" s="26"/>
      <c r="D11" s="473"/>
      <c r="E11" s="474"/>
      <c r="F11" s="474"/>
      <c r="G11" s="474"/>
      <c r="H11" s="474"/>
      <c r="I11" s="474"/>
      <c r="J11" s="474"/>
      <c r="K11" s="475"/>
      <c r="L11" s="475"/>
      <c r="M11" s="475"/>
      <c r="T11"/>
    </row>
    <row r="12" spans="1:20" ht="12" customHeight="1">
      <c r="A12" s="4"/>
      <c r="B12" s="5"/>
      <c r="C12" s="26"/>
      <c r="D12" s="473"/>
      <c r="E12" s="474"/>
      <c r="F12" s="474"/>
      <c r="G12" s="474"/>
      <c r="H12" s="474"/>
      <c r="I12" s="474"/>
      <c r="J12" s="474"/>
      <c r="K12" s="475"/>
      <c r="L12" s="475"/>
      <c r="M12" s="475"/>
      <c r="T12"/>
    </row>
    <row r="13" spans="1:20" ht="12" customHeight="1">
      <c r="A13" s="4"/>
      <c r="B13" s="5"/>
      <c r="C13" s="26"/>
      <c r="D13" s="473"/>
      <c r="E13" s="474"/>
      <c r="F13" s="474"/>
      <c r="G13" s="474"/>
      <c r="H13" s="474"/>
      <c r="I13" s="474"/>
      <c r="J13" s="474"/>
      <c r="K13" s="475"/>
      <c r="L13" s="475"/>
      <c r="M13" s="475"/>
      <c r="T13"/>
    </row>
    <row r="14" spans="1:20" ht="12" customHeight="1">
      <c r="A14" s="4"/>
      <c r="B14" s="5"/>
      <c r="C14" s="26"/>
      <c r="D14" s="473"/>
      <c r="E14" s="474"/>
      <c r="F14" s="474"/>
      <c r="G14" s="474"/>
      <c r="H14" s="474"/>
      <c r="I14" s="474"/>
      <c r="J14" s="474"/>
      <c r="K14" s="475"/>
      <c r="L14" s="475"/>
      <c r="M14" s="475"/>
      <c r="T14"/>
    </row>
    <row r="15" spans="1:20" ht="12" customHeight="1">
      <c r="A15" s="4"/>
      <c r="B15" s="5"/>
      <c r="C15" s="26"/>
      <c r="D15" s="473"/>
      <c r="E15" s="474"/>
      <c r="F15" s="474"/>
      <c r="G15" s="474"/>
      <c r="H15" s="474"/>
      <c r="I15" s="474"/>
      <c r="J15" s="474"/>
      <c r="K15" s="475"/>
      <c r="L15" s="475"/>
      <c r="M15" s="475"/>
      <c r="T15"/>
    </row>
    <row r="16" spans="1:20" ht="12" customHeight="1">
      <c r="A16" s="4"/>
      <c r="B16" s="5"/>
      <c r="C16" s="26"/>
      <c r="D16" s="473"/>
      <c r="E16" s="474"/>
      <c r="F16" s="474"/>
      <c r="G16" s="474"/>
      <c r="H16" s="474"/>
      <c r="I16" s="474"/>
      <c r="J16" s="474"/>
      <c r="K16" s="475"/>
      <c r="L16" s="475"/>
      <c r="M16" s="475"/>
      <c r="T16"/>
    </row>
    <row r="17" spans="1:20" ht="12" customHeight="1">
      <c r="A17" s="4"/>
      <c r="B17" s="5"/>
      <c r="C17" s="26"/>
      <c r="D17" s="475"/>
      <c r="E17" s="475"/>
      <c r="F17" s="475"/>
      <c r="G17" s="475"/>
      <c r="H17" s="475"/>
      <c r="I17" s="475"/>
      <c r="J17" s="475"/>
      <c r="K17" s="475"/>
      <c r="L17" s="475"/>
      <c r="M17" s="475"/>
      <c r="T17"/>
    </row>
    <row r="18" spans="1:20" ht="12" customHeight="1">
      <c r="A18" s="4"/>
      <c r="B18" s="5"/>
      <c r="C18" s="26"/>
      <c r="D18" s="475"/>
      <c r="E18" s="475"/>
      <c r="F18" s="475"/>
      <c r="G18" s="475"/>
      <c r="H18" s="475"/>
      <c r="I18" s="475"/>
      <c r="J18" s="475"/>
      <c r="K18" s="475"/>
      <c r="L18" s="475"/>
      <c r="M18" s="475"/>
      <c r="P18" s="8"/>
      <c r="R18" s="24"/>
      <c r="S18" s="24"/>
      <c r="T18"/>
    </row>
    <row r="19" spans="1:20" ht="12" customHeight="1">
      <c r="A19" s="4"/>
      <c r="B19" s="5"/>
      <c r="C19" s="26"/>
      <c r="D19" s="473" t="s">
        <v>254</v>
      </c>
      <c r="E19" s="475"/>
      <c r="F19" s="475"/>
      <c r="G19" s="475"/>
      <c r="H19" s="475"/>
      <c r="I19" s="475"/>
      <c r="J19" s="475"/>
      <c r="K19" s="475"/>
      <c r="L19" s="475"/>
      <c r="M19" s="475"/>
      <c r="P19" s="8"/>
      <c r="R19" s="24"/>
      <c r="S19" s="24"/>
      <c r="T19"/>
    </row>
    <row r="20" spans="1:20" ht="12" customHeight="1">
      <c r="A20" s="4"/>
      <c r="B20" s="5"/>
      <c r="C20" s="26"/>
      <c r="D20" s="475"/>
      <c r="E20" s="475"/>
      <c r="F20" s="475"/>
      <c r="G20" s="475"/>
      <c r="H20" s="475"/>
      <c r="I20" s="475"/>
      <c r="J20" s="475"/>
      <c r="K20" s="475"/>
      <c r="L20" s="475"/>
      <c r="M20" s="475"/>
      <c r="P20" s="8"/>
      <c r="R20" s="24"/>
      <c r="S20" s="24"/>
      <c r="T20"/>
    </row>
    <row r="21" spans="1:20" ht="12" customHeight="1">
      <c r="A21" s="4"/>
      <c r="B21" s="5"/>
      <c r="C21" s="26"/>
      <c r="D21" s="475"/>
      <c r="E21" s="475"/>
      <c r="F21" s="475"/>
      <c r="G21" s="475"/>
      <c r="H21" s="475"/>
      <c r="I21" s="475"/>
      <c r="J21" s="475"/>
      <c r="K21" s="475"/>
      <c r="L21" s="475"/>
      <c r="M21" s="475"/>
      <c r="P21" s="8"/>
      <c r="R21" s="24"/>
      <c r="S21" s="24"/>
      <c r="T21"/>
    </row>
    <row r="22" spans="1:20" ht="12" customHeight="1">
      <c r="A22" s="4"/>
      <c r="B22" s="5"/>
      <c r="C22" s="26"/>
      <c r="D22" s="475"/>
      <c r="E22" s="475"/>
      <c r="F22" s="475"/>
      <c r="G22" s="475"/>
      <c r="H22" s="475"/>
      <c r="I22" s="475"/>
      <c r="J22" s="475"/>
      <c r="K22" s="475"/>
      <c r="L22" s="475"/>
      <c r="M22" s="475"/>
      <c r="P22" s="8"/>
      <c r="R22" s="24"/>
      <c r="S22" s="24"/>
      <c r="T22"/>
    </row>
    <row r="23" spans="1:20" ht="12" customHeight="1">
      <c r="A23" s="4"/>
      <c r="B23" s="5"/>
      <c r="C23" s="26"/>
      <c r="D23" s="469" t="s">
        <v>253</v>
      </c>
      <c r="E23" s="458"/>
      <c r="F23" s="458"/>
      <c r="G23" s="458"/>
      <c r="H23" s="458"/>
      <c r="I23" s="458"/>
      <c r="J23" s="458"/>
      <c r="K23" s="458"/>
      <c r="L23" s="458"/>
      <c r="M23" s="458"/>
      <c r="P23" s="8"/>
      <c r="R23" s="24"/>
      <c r="S23" s="24"/>
      <c r="T23"/>
    </row>
    <row r="24" spans="1:20" ht="12" customHeight="1">
      <c r="A24" s="4"/>
      <c r="B24" s="5"/>
      <c r="C24" s="26"/>
      <c r="D24" s="458"/>
      <c r="E24" s="458"/>
      <c r="F24" s="458"/>
      <c r="G24" s="458"/>
      <c r="H24" s="458"/>
      <c r="I24" s="458"/>
      <c r="J24" s="458"/>
      <c r="K24" s="458"/>
      <c r="L24" s="458"/>
      <c r="M24" s="458"/>
      <c r="P24" s="8"/>
      <c r="R24" s="24"/>
      <c r="S24" s="24"/>
      <c r="T24"/>
    </row>
    <row r="25" spans="1:20" ht="12" customHeight="1">
      <c r="A25" s="4"/>
      <c r="B25" s="5"/>
      <c r="C25" s="26"/>
      <c r="D25" s="214"/>
      <c r="E25" s="214"/>
      <c r="F25" s="214"/>
      <c r="G25" s="214"/>
      <c r="H25" s="214"/>
      <c r="I25" s="214"/>
      <c r="J25" s="214"/>
      <c r="K25" s="214"/>
      <c r="L25" s="214"/>
      <c r="M25" s="214"/>
      <c r="P25" s="8"/>
      <c r="R25" s="24"/>
      <c r="S25" s="24"/>
      <c r="T25"/>
    </row>
    <row r="26" spans="1:20" ht="15">
      <c r="A26" s="4"/>
      <c r="B26" s="5"/>
      <c r="C26" s="26"/>
      <c r="D26" s="28" t="s">
        <v>249</v>
      </c>
      <c r="E26" s="26"/>
      <c r="F26" s="26"/>
      <c r="G26" s="26"/>
      <c r="H26" s="26"/>
      <c r="I26" s="26"/>
      <c r="J26" s="26"/>
      <c r="M26" s="27"/>
      <c r="T26"/>
    </row>
    <row r="27" spans="1:20" ht="12" customHeight="1">
      <c r="A27" s="4"/>
      <c r="B27" s="5"/>
      <c r="C27" s="26"/>
      <c r="D27" s="469" t="s">
        <v>47</v>
      </c>
      <c r="E27" s="458"/>
      <c r="F27" s="458"/>
      <c r="G27" s="458"/>
      <c r="H27" s="458"/>
      <c r="I27" s="458"/>
      <c r="J27" s="458"/>
      <c r="K27" s="458"/>
      <c r="L27" s="458"/>
      <c r="M27" s="458"/>
      <c r="P27" s="7"/>
      <c r="T27"/>
    </row>
    <row r="28" spans="1:13" ht="12" customHeight="1">
      <c r="A28" s="4"/>
      <c r="B28" s="5"/>
      <c r="C28" s="26"/>
      <c r="D28" s="458"/>
      <c r="E28" s="458"/>
      <c r="F28" s="458"/>
      <c r="G28" s="458"/>
      <c r="H28" s="458"/>
      <c r="I28" s="458"/>
      <c r="J28" s="458"/>
      <c r="K28" s="458"/>
      <c r="L28" s="458"/>
      <c r="M28" s="458"/>
    </row>
    <row r="29" spans="1:13" ht="14.25" customHeight="1">
      <c r="A29" s="4"/>
      <c r="B29" s="5"/>
      <c r="C29" s="26"/>
      <c r="D29" s="29" t="s">
        <v>4</v>
      </c>
      <c r="E29" s="30" t="s">
        <v>248</v>
      </c>
      <c r="F29" s="30"/>
      <c r="G29" s="30"/>
      <c r="H29" s="30"/>
      <c r="M29" s="27"/>
    </row>
    <row r="30" spans="1:13" ht="14.25" customHeight="1">
      <c r="A30" s="4"/>
      <c r="B30" s="5"/>
      <c r="C30" s="26"/>
      <c r="D30" s="29" t="s">
        <v>4</v>
      </c>
      <c r="E30" s="30" t="s">
        <v>96</v>
      </c>
      <c r="F30" s="30"/>
      <c r="G30" s="30"/>
      <c r="H30" s="30"/>
      <c r="M30" s="27"/>
    </row>
    <row r="31" spans="1:13" ht="14.25" customHeight="1">
      <c r="A31" s="4"/>
      <c r="B31" s="5"/>
      <c r="C31" s="26"/>
      <c r="D31" s="29" t="s">
        <v>4</v>
      </c>
      <c r="E31" s="30" t="s">
        <v>237</v>
      </c>
      <c r="F31" s="30"/>
      <c r="G31" s="30"/>
      <c r="H31" s="30"/>
      <c r="M31" s="27"/>
    </row>
    <row r="32" spans="1:13" ht="14.25" customHeight="1">
      <c r="A32" s="4"/>
      <c r="B32" s="5"/>
      <c r="C32" s="26"/>
      <c r="D32" s="29" t="s">
        <v>4</v>
      </c>
      <c r="E32" s="30" t="s">
        <v>238</v>
      </c>
      <c r="F32" s="30"/>
      <c r="G32" s="30"/>
      <c r="H32" s="30"/>
      <c r="M32" s="27"/>
    </row>
    <row r="33" spans="1:13" ht="14.25" customHeight="1">
      <c r="A33" s="4"/>
      <c r="B33" s="5"/>
      <c r="C33" s="26"/>
      <c r="D33" s="29" t="s">
        <v>4</v>
      </c>
      <c r="E33" s="30" t="s">
        <v>135</v>
      </c>
      <c r="F33" s="30"/>
      <c r="G33" s="30"/>
      <c r="H33" s="30"/>
      <c r="M33" s="27"/>
    </row>
    <row r="34" spans="1:13" ht="12" customHeight="1">
      <c r="A34" s="4"/>
      <c r="B34" s="5"/>
      <c r="C34" s="26"/>
      <c r="D34" s="469" t="s">
        <v>252</v>
      </c>
      <c r="E34" s="458"/>
      <c r="F34" s="458"/>
      <c r="G34" s="458"/>
      <c r="H34" s="458"/>
      <c r="I34" s="458"/>
      <c r="J34" s="458"/>
      <c r="K34" s="458"/>
      <c r="L34" s="458"/>
      <c r="M34" s="458"/>
    </row>
    <row r="35" spans="1:13" ht="12" customHeight="1">
      <c r="A35" s="4"/>
      <c r="B35" s="5"/>
      <c r="C35" s="26"/>
      <c r="D35" s="458"/>
      <c r="E35" s="458"/>
      <c r="F35" s="458"/>
      <c r="G35" s="458"/>
      <c r="H35" s="458"/>
      <c r="I35" s="458"/>
      <c r="J35" s="458"/>
      <c r="K35" s="458"/>
      <c r="L35" s="458"/>
      <c r="M35" s="458"/>
    </row>
    <row r="36" spans="1:13" ht="14.25" customHeight="1">
      <c r="A36" s="4"/>
      <c r="B36" s="5"/>
      <c r="C36" s="26"/>
      <c r="D36" s="29" t="s">
        <v>4</v>
      </c>
      <c r="E36" s="30" t="s">
        <v>110</v>
      </c>
      <c r="F36" s="30"/>
      <c r="G36" s="30"/>
      <c r="H36" s="30"/>
      <c r="I36" s="31"/>
      <c r="J36" s="31"/>
      <c r="M36" s="27"/>
    </row>
    <row r="37" spans="1:13" ht="14.25" customHeight="1">
      <c r="A37" s="4"/>
      <c r="B37" s="5"/>
      <c r="C37" s="26"/>
      <c r="D37" s="29" t="s">
        <v>4</v>
      </c>
      <c r="E37" s="30" t="s">
        <v>97</v>
      </c>
      <c r="F37" s="30"/>
      <c r="G37" s="30"/>
      <c r="H37" s="30"/>
      <c r="I37" s="31"/>
      <c r="J37" s="31"/>
      <c r="M37" s="27"/>
    </row>
    <row r="38" spans="1:13" ht="14.25" customHeight="1">
      <c r="A38" s="4"/>
      <c r="B38" s="5"/>
      <c r="C38" s="26"/>
      <c r="D38" s="29" t="s">
        <v>4</v>
      </c>
      <c r="E38" s="469" t="s">
        <v>98</v>
      </c>
      <c r="F38" s="470"/>
      <c r="G38" s="470"/>
      <c r="H38" s="470"/>
      <c r="I38" s="470"/>
      <c r="J38" s="470"/>
      <c r="K38" s="470"/>
      <c r="L38" s="470"/>
      <c r="M38" s="470"/>
    </row>
    <row r="39" spans="1:13" ht="14.25" customHeight="1">
      <c r="A39" s="4"/>
      <c r="B39" s="5"/>
      <c r="C39" s="26"/>
      <c r="D39" s="29"/>
      <c r="E39" s="470"/>
      <c r="F39" s="470"/>
      <c r="G39" s="470"/>
      <c r="H39" s="470"/>
      <c r="I39" s="470"/>
      <c r="J39" s="470"/>
      <c r="K39" s="470"/>
      <c r="L39" s="470"/>
      <c r="M39" s="470"/>
    </row>
    <row r="40" spans="1:13" ht="12" customHeight="1">
      <c r="A40" s="4"/>
      <c r="B40" s="5"/>
      <c r="C40" s="26"/>
      <c r="D40" s="214"/>
      <c r="E40" s="214"/>
      <c r="F40" s="214"/>
      <c r="G40" s="214"/>
      <c r="H40" s="214"/>
      <c r="I40" s="214"/>
      <c r="J40" s="214"/>
      <c r="K40" s="214"/>
      <c r="L40" s="214"/>
      <c r="M40" s="214"/>
    </row>
    <row r="41" spans="1:4" ht="14.25" customHeight="1">
      <c r="A41" s="4"/>
      <c r="B41" s="5"/>
      <c r="D41" s="28" t="s">
        <v>5</v>
      </c>
    </row>
    <row r="42" spans="1:13" ht="12" customHeight="1">
      <c r="A42" s="4"/>
      <c r="B42" s="5"/>
      <c r="D42" s="471" t="s">
        <v>4</v>
      </c>
      <c r="E42" s="469" t="s">
        <v>41</v>
      </c>
      <c r="F42" s="469"/>
      <c r="G42" s="469"/>
      <c r="H42" s="469"/>
      <c r="I42" s="459"/>
      <c r="J42" s="459"/>
      <c r="K42" s="459"/>
      <c r="L42" s="459"/>
      <c r="M42" s="459"/>
    </row>
    <row r="43" spans="1:13" ht="12" customHeight="1">
      <c r="A43" s="4"/>
      <c r="B43" s="5"/>
      <c r="D43" s="471"/>
      <c r="E43" s="459"/>
      <c r="F43" s="459"/>
      <c r="G43" s="459"/>
      <c r="H43" s="459"/>
      <c r="I43" s="459"/>
      <c r="J43" s="459"/>
      <c r="K43" s="459"/>
      <c r="L43" s="459"/>
      <c r="M43" s="459"/>
    </row>
    <row r="44" spans="1:13" ht="12" customHeight="1">
      <c r="A44" s="4"/>
      <c r="B44" s="5"/>
      <c r="D44" s="471" t="s">
        <v>4</v>
      </c>
      <c r="E44" s="469" t="s">
        <v>275</v>
      </c>
      <c r="F44" s="469"/>
      <c r="G44" s="469"/>
      <c r="H44" s="469"/>
      <c r="I44" s="458"/>
      <c r="J44" s="458"/>
      <c r="K44" s="458"/>
      <c r="L44" s="458"/>
      <c r="M44" s="458"/>
    </row>
    <row r="45" spans="1:13" ht="12" customHeight="1">
      <c r="A45" s="4"/>
      <c r="B45" s="5"/>
      <c r="D45" s="471"/>
      <c r="E45" s="458"/>
      <c r="F45" s="458"/>
      <c r="G45" s="458"/>
      <c r="H45" s="458"/>
      <c r="I45" s="458"/>
      <c r="J45" s="458"/>
      <c r="K45" s="458"/>
      <c r="L45" s="458"/>
      <c r="M45" s="458"/>
    </row>
    <row r="46" spans="1:13" ht="12" customHeight="1">
      <c r="A46" s="4"/>
      <c r="B46" s="5"/>
      <c r="D46" s="207"/>
      <c r="E46" s="458"/>
      <c r="F46" s="458"/>
      <c r="G46" s="458"/>
      <c r="H46" s="458"/>
      <c r="I46" s="458"/>
      <c r="J46" s="458"/>
      <c r="K46" s="458"/>
      <c r="L46" s="458"/>
      <c r="M46" s="458"/>
    </row>
    <row r="47" spans="1:13" ht="12" customHeight="1">
      <c r="A47" s="4"/>
      <c r="B47" s="5"/>
      <c r="D47" s="207"/>
      <c r="E47" s="459"/>
      <c r="F47" s="459"/>
      <c r="G47" s="459"/>
      <c r="H47" s="459"/>
      <c r="I47" s="459"/>
      <c r="J47" s="459"/>
      <c r="K47" s="459"/>
      <c r="L47" s="459"/>
      <c r="M47" s="459"/>
    </row>
    <row r="48" spans="1:13" ht="12" customHeight="1">
      <c r="A48" s="4"/>
      <c r="B48" s="5"/>
      <c r="D48" s="471" t="s">
        <v>4</v>
      </c>
      <c r="E48" s="469" t="s">
        <v>274</v>
      </c>
      <c r="F48" s="469"/>
      <c r="G48" s="469"/>
      <c r="H48" s="469"/>
      <c r="I48" s="458"/>
      <c r="J48" s="458"/>
      <c r="K48" s="458"/>
      <c r="L48" s="458"/>
      <c r="M48" s="458"/>
    </row>
    <row r="49" spans="1:13" ht="12" customHeight="1">
      <c r="A49" s="4"/>
      <c r="B49" s="5"/>
      <c r="D49" s="471"/>
      <c r="E49" s="458"/>
      <c r="F49" s="458"/>
      <c r="G49" s="458"/>
      <c r="H49" s="458"/>
      <c r="I49" s="458"/>
      <c r="J49" s="458"/>
      <c r="K49" s="458"/>
      <c r="L49" s="458"/>
      <c r="M49" s="458"/>
    </row>
    <row r="50" spans="4:13" ht="12" customHeight="1">
      <c r="D50" s="208"/>
      <c r="E50" s="458"/>
      <c r="F50" s="458"/>
      <c r="G50" s="458"/>
      <c r="H50" s="458"/>
      <c r="I50" s="458"/>
      <c r="J50" s="458"/>
      <c r="K50" s="458"/>
      <c r="L50" s="458"/>
      <c r="M50" s="458"/>
    </row>
    <row r="51" spans="4:13" ht="12" customHeight="1">
      <c r="D51" s="208"/>
      <c r="E51" s="458"/>
      <c r="F51" s="458"/>
      <c r="G51" s="458"/>
      <c r="H51" s="458"/>
      <c r="I51" s="458"/>
      <c r="J51" s="458"/>
      <c r="K51" s="458"/>
      <c r="L51" s="458"/>
      <c r="M51" s="458"/>
    </row>
    <row r="52" spans="4:13" ht="12" customHeight="1">
      <c r="D52" s="208"/>
      <c r="E52" s="459"/>
      <c r="F52" s="459"/>
      <c r="G52" s="459"/>
      <c r="H52" s="459"/>
      <c r="I52" s="459"/>
      <c r="J52" s="459"/>
      <c r="K52" s="459"/>
      <c r="L52" s="459"/>
      <c r="M52" s="459"/>
    </row>
    <row r="53" spans="4:13" ht="12" customHeight="1">
      <c r="D53" s="468" t="s">
        <v>141</v>
      </c>
      <c r="E53" s="459"/>
      <c r="F53" s="459"/>
      <c r="G53" s="459"/>
      <c r="H53" s="459"/>
      <c r="I53" s="459"/>
      <c r="J53" s="459"/>
      <c r="K53" s="459"/>
      <c r="L53" s="459"/>
      <c r="M53" s="459"/>
    </row>
    <row r="54" spans="4:13" ht="12" customHeight="1">
      <c r="D54" s="459"/>
      <c r="E54" s="459"/>
      <c r="F54" s="459"/>
      <c r="G54" s="459"/>
      <c r="H54" s="459"/>
      <c r="I54" s="459"/>
      <c r="J54" s="459"/>
      <c r="K54" s="459"/>
      <c r="L54" s="459"/>
      <c r="M54" s="459"/>
    </row>
    <row r="55" spans="4:13" ht="12" customHeight="1">
      <c r="D55" s="459"/>
      <c r="E55" s="459"/>
      <c r="F55" s="459"/>
      <c r="G55" s="459"/>
      <c r="H55" s="459"/>
      <c r="I55" s="459"/>
      <c r="J55" s="459"/>
      <c r="K55" s="459"/>
      <c r="L55" s="459"/>
      <c r="M55" s="459"/>
    </row>
    <row r="56" spans="4:13" ht="12" customHeight="1">
      <c r="D56" s="459"/>
      <c r="E56" s="459"/>
      <c r="F56" s="459"/>
      <c r="G56" s="459"/>
      <c r="H56" s="459"/>
      <c r="I56" s="459"/>
      <c r="J56" s="459"/>
      <c r="K56" s="459"/>
      <c r="L56" s="459"/>
      <c r="M56" s="459"/>
    </row>
    <row r="57" spans="4:12" ht="14.25">
      <c r="D57" s="26"/>
      <c r="E57" s="26"/>
      <c r="F57" s="26"/>
      <c r="G57" s="26"/>
      <c r="H57" s="26"/>
      <c r="I57" s="26"/>
      <c r="J57" s="26"/>
      <c r="K57" s="26"/>
      <c r="L57" s="26"/>
    </row>
    <row r="58" spans="4:13" ht="14.25">
      <c r="D58" s="137"/>
      <c r="E58" s="137"/>
      <c r="F58" s="137"/>
      <c r="G58" s="137"/>
      <c r="H58" s="137"/>
      <c r="I58" s="137"/>
      <c r="J58" s="137"/>
      <c r="K58" s="137"/>
      <c r="L58" s="137"/>
      <c r="M58" s="137"/>
    </row>
    <row r="59" ht="14.25"/>
    <row r="60" ht="14.25"/>
    <row r="61" ht="14.25"/>
  </sheetData>
  <sheetProtection password="DAF7" sheet="1" objects="1" selectLockedCells="1" selectUnlockedCells="1"/>
  <mergeCells count="15">
    <mergeCell ref="D2:M2"/>
    <mergeCell ref="D4:M9"/>
    <mergeCell ref="D10:M18"/>
    <mergeCell ref="D19:M22"/>
    <mergeCell ref="D34:M35"/>
    <mergeCell ref="D27:M28"/>
    <mergeCell ref="D53:M56"/>
    <mergeCell ref="E38:M39"/>
    <mergeCell ref="E48:M52"/>
    <mergeCell ref="E42:M43"/>
    <mergeCell ref="D42:D43"/>
    <mergeCell ref="D23:M24"/>
    <mergeCell ref="E44:M47"/>
    <mergeCell ref="D44:D45"/>
    <mergeCell ref="D48:D4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2"/>
  <headerFooter>
    <oddHeader xml:space="preserve">&amp;C </oddHeader>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C1:N60"/>
  <sheetViews>
    <sheetView showRowColHeaders="0" zoomScale="75" zoomScaleNormal="75" zoomScaleSheetLayoutView="75" zoomScalePageLayoutView="75" workbookViewId="0" topLeftCell="A1">
      <selection activeCell="F19" sqref="F19"/>
    </sheetView>
  </sheetViews>
  <sheetFormatPr defaultColWidth="0" defaultRowHeight="14.25" zeroHeight="1"/>
  <cols>
    <col min="1" max="1" width="6.625" style="4" customWidth="1"/>
    <col min="2" max="2" width="1.625" style="5" customWidth="1"/>
    <col min="3" max="3" width="4.625" style="47" customWidth="1"/>
    <col min="4" max="5" width="13.625" style="12" customWidth="1"/>
    <col min="6" max="8" width="10.625" style="12" customWidth="1"/>
    <col min="9" max="9" width="8.625" style="12" customWidth="1"/>
    <col min="10" max="10" width="2.625" style="12" customWidth="1"/>
    <col min="11" max="12" width="13.625" style="12" customWidth="1"/>
    <col min="13" max="13" width="8.625" style="12" customWidth="1"/>
    <col min="14" max="14" width="6.625" style="32" customWidth="1"/>
    <col min="15" max="16384" width="6.625" style="12" hidden="1" customWidth="1"/>
  </cols>
  <sheetData>
    <row r="1" spans="3:13" ht="23.25">
      <c r="C1" s="25"/>
      <c r="D1" s="476" t="s">
        <v>6</v>
      </c>
      <c r="E1" s="463"/>
      <c r="F1" s="463"/>
      <c r="G1" s="463"/>
      <c r="H1" s="463"/>
      <c r="I1" s="463"/>
      <c r="J1" s="463"/>
      <c r="K1" s="463"/>
      <c r="L1" s="463"/>
      <c r="M1" s="463"/>
    </row>
    <row r="2" spans="3:13" ht="14.25">
      <c r="C2" s="26"/>
      <c r="D2" s="136">
        <f ca="1">IF(TODAY()&lt;&gt;Kod!A11,"","Datum för använda modellen har passerats")</f>
      </c>
      <c r="E2" s="32"/>
      <c r="F2" s="32"/>
      <c r="G2" s="32"/>
      <c r="H2" s="32"/>
      <c r="I2" s="32"/>
      <c r="J2" s="32"/>
      <c r="K2" s="32"/>
      <c r="L2" s="32"/>
      <c r="M2" s="32"/>
    </row>
    <row r="3" spans="3:14" ht="19.5" customHeight="1">
      <c r="C3" s="26"/>
      <c r="D3" s="274" t="s">
        <v>123</v>
      </c>
      <c r="E3" s="477" t="s">
        <v>339</v>
      </c>
      <c r="F3" s="479"/>
      <c r="G3" s="479"/>
      <c r="H3" s="479"/>
      <c r="I3" s="479"/>
      <c r="J3" s="479"/>
      <c r="K3" s="479"/>
      <c r="L3" s="479"/>
      <c r="M3" s="480"/>
      <c r="N3" s="121"/>
    </row>
    <row r="4" spans="3:14" ht="19.5" customHeight="1">
      <c r="C4" s="26"/>
      <c r="D4" s="273" t="s">
        <v>124</v>
      </c>
      <c r="E4" s="477" t="s">
        <v>344</v>
      </c>
      <c r="F4" s="478"/>
      <c r="G4" s="124" t="s">
        <v>125</v>
      </c>
      <c r="H4" s="276" t="s">
        <v>340</v>
      </c>
      <c r="I4" s="481" t="s">
        <v>126</v>
      </c>
      <c r="J4" s="482"/>
      <c r="K4" s="477" t="s">
        <v>341</v>
      </c>
      <c r="L4" s="479"/>
      <c r="M4" s="480"/>
      <c r="N4" s="121"/>
    </row>
    <row r="5" spans="3:13" ht="19.5" customHeight="1">
      <c r="C5" s="26"/>
      <c r="D5" s="488" t="s">
        <v>139</v>
      </c>
      <c r="E5" s="487"/>
      <c r="F5" s="485" t="str">
        <f>Kod!A14</f>
        <v>3.5</v>
      </c>
      <c r="G5" s="486"/>
      <c r="H5" s="486"/>
      <c r="I5" s="486"/>
      <c r="J5" s="486"/>
      <c r="K5" s="486"/>
      <c r="L5" s="486"/>
      <c r="M5" s="487"/>
    </row>
    <row r="6" spans="3:13" ht="15" customHeight="1">
      <c r="C6" s="26"/>
      <c r="D6" s="32"/>
      <c r="F6" s="32"/>
      <c r="G6" s="32"/>
      <c r="H6" s="32"/>
      <c r="I6" s="32"/>
      <c r="J6" s="32"/>
      <c r="K6" s="32"/>
      <c r="L6" s="32"/>
      <c r="M6" s="32"/>
    </row>
    <row r="7" spans="3:13" ht="15" customHeight="1">
      <c r="C7" s="26"/>
      <c r="D7" s="32" t="s">
        <v>272</v>
      </c>
      <c r="E7" s="32"/>
      <c r="F7" s="32"/>
      <c r="G7" s="32"/>
      <c r="H7" s="32"/>
      <c r="I7" s="32"/>
      <c r="J7" s="32"/>
      <c r="K7" s="32"/>
      <c r="L7" s="32"/>
      <c r="M7" s="32"/>
    </row>
    <row r="8" spans="3:13" ht="15" customHeight="1">
      <c r="C8" s="26"/>
      <c r="D8" s="489" t="s">
        <v>285</v>
      </c>
      <c r="E8" s="459"/>
      <c r="F8" s="459"/>
      <c r="G8" s="459"/>
      <c r="H8" s="459"/>
      <c r="I8" s="459"/>
      <c r="J8" s="459"/>
      <c r="K8" s="459"/>
      <c r="L8" s="459"/>
      <c r="M8" s="459"/>
    </row>
    <row r="9" spans="3:14" ht="15" customHeight="1">
      <c r="C9" s="26"/>
      <c r="D9" s="459"/>
      <c r="E9" s="459"/>
      <c r="F9" s="459"/>
      <c r="G9" s="459"/>
      <c r="H9" s="459"/>
      <c r="I9" s="459"/>
      <c r="J9" s="459"/>
      <c r="K9" s="459"/>
      <c r="L9" s="459"/>
      <c r="M9" s="459"/>
      <c r="N9" s="26"/>
    </row>
    <row r="10" spans="3:14" ht="15" customHeight="1">
      <c r="C10" s="26"/>
      <c r="D10" s="32" t="s">
        <v>273</v>
      </c>
      <c r="E10" s="26"/>
      <c r="F10" s="26"/>
      <c r="G10" s="26"/>
      <c r="H10" s="26"/>
      <c r="I10" s="26"/>
      <c r="J10" s="26"/>
      <c r="K10" s="26"/>
      <c r="L10" s="32"/>
      <c r="M10" s="32"/>
      <c r="N10" s="26"/>
    </row>
    <row r="11" spans="3:13" ht="15" customHeight="1">
      <c r="C11" s="26"/>
      <c r="E11" s="32"/>
      <c r="F11" s="32"/>
      <c r="G11" s="32"/>
      <c r="H11" s="32"/>
      <c r="I11" s="32"/>
      <c r="J11" s="32"/>
      <c r="K11" s="32"/>
      <c r="L11" s="32"/>
      <c r="M11" s="32"/>
    </row>
    <row r="12" spans="3:13" ht="15" customHeight="1" thickBot="1">
      <c r="C12" s="26"/>
      <c r="D12" s="85" t="s">
        <v>49</v>
      </c>
      <c r="E12" s="32"/>
      <c r="F12" s="86"/>
      <c r="G12" s="86"/>
      <c r="H12" s="87"/>
      <c r="I12" s="87"/>
      <c r="J12" s="87"/>
      <c r="K12" s="33" t="s">
        <v>49</v>
      </c>
      <c r="L12" s="32"/>
      <c r="M12" s="88"/>
    </row>
    <row r="13" spans="3:13" ht="15" customHeight="1">
      <c r="C13" s="26"/>
      <c r="D13" s="492" t="s">
        <v>7</v>
      </c>
      <c r="E13" s="493"/>
      <c r="F13" s="91">
        <v>2022</v>
      </c>
      <c r="G13" s="76">
        <f ca="1">IF(F13="","INDATA SAKNAS",IF(OR(F13&lt;2011,F13&gt;YEAR(NOW())),"ORIMLIGT VÄRDE",""))</f>
      </c>
      <c r="H13" s="32"/>
      <c r="I13" s="32"/>
      <c r="J13" s="32"/>
      <c r="K13" s="492" t="s">
        <v>7</v>
      </c>
      <c r="L13" s="493"/>
      <c r="M13" s="55">
        <f>IF('3 Förutsättningar'!F13&gt;0,Kod!I3,"")</f>
        <v>2022</v>
      </c>
    </row>
    <row r="14" spans="3:13" ht="15" customHeight="1">
      <c r="C14" s="26"/>
      <c r="D14" s="483" t="s">
        <v>286</v>
      </c>
      <c r="E14" s="484"/>
      <c r="F14" s="92">
        <v>18303</v>
      </c>
      <c r="G14" s="76">
        <f>IF(F14="","INDATA SAKNAS",IF(OR(F14&lt;=1000,F14&gt;=10000000),"ORIMLIGT VÄRDE",""))</f>
      </c>
      <c r="H14" s="32"/>
      <c r="I14" s="32"/>
      <c r="J14" s="32"/>
      <c r="K14" s="490" t="s">
        <v>286</v>
      </c>
      <c r="L14" s="491"/>
      <c r="M14" s="82">
        <f>IF('3 Förutsättningar'!F14&gt;0,Kod!I4,"")</f>
        <v>18303</v>
      </c>
    </row>
    <row r="15" spans="3:13" ht="15" customHeight="1" thickBot="1">
      <c r="C15" s="26"/>
      <c r="D15" s="496" t="s">
        <v>121</v>
      </c>
      <c r="E15" s="497"/>
      <c r="F15" s="95">
        <v>9</v>
      </c>
      <c r="G15" s="76">
        <f>IF(F15="","INDATA SAKNAS",IF(AND(F15&lt;&gt;9,F15&lt;&gt;10),"ORIMLIGT VÄRDE",""))</f>
      </c>
      <c r="H15" s="32"/>
      <c r="I15" s="32"/>
      <c r="J15" s="32"/>
      <c r="K15" s="496" t="s">
        <v>121</v>
      </c>
      <c r="L15" s="497"/>
      <c r="M15" s="175">
        <f>IF('3 Förutsättningar'!F15&gt;0,Kod!I5,"")</f>
        <v>9</v>
      </c>
    </row>
    <row r="16" spans="3:13" ht="15" customHeight="1" hidden="1" thickBot="1">
      <c r="C16" s="26"/>
      <c r="D16" s="498" t="s">
        <v>157</v>
      </c>
      <c r="E16" s="499"/>
      <c r="F16" s="195">
        <v>1</v>
      </c>
      <c r="G16" s="76">
        <f>IF(F16="","INDATA SAKNAS",IF((AND(F16&lt;&gt;1,F16&lt;&gt;2)),"FELAKTIGT VÄRDE",""))</f>
      </c>
      <c r="H16" s="32"/>
      <c r="I16" s="32"/>
      <c r="J16" s="32"/>
      <c r="K16" s="498" t="s">
        <v>157</v>
      </c>
      <c r="L16" s="499"/>
      <c r="M16" s="196">
        <f>IF('3 Förutsättningar'!F16&gt;0,Kod!I7,"")</f>
        <v>1</v>
      </c>
    </row>
    <row r="17" spans="3:13" ht="15" customHeight="1">
      <c r="C17" s="26"/>
      <c r="D17" s="35"/>
      <c r="E17" s="168"/>
      <c r="F17" s="174"/>
      <c r="G17" s="76"/>
      <c r="H17" s="32"/>
      <c r="I17" s="32"/>
      <c r="J17" s="32"/>
      <c r="K17" s="35"/>
      <c r="L17" s="168"/>
      <c r="M17" s="176"/>
    </row>
    <row r="18" spans="3:13" ht="15" customHeight="1" thickBot="1">
      <c r="C18" s="26"/>
      <c r="D18" s="173" t="s">
        <v>156</v>
      </c>
      <c r="E18" s="90"/>
      <c r="F18" s="169"/>
      <c r="G18" s="76"/>
      <c r="H18" s="32"/>
      <c r="I18" s="32"/>
      <c r="J18" s="32"/>
      <c r="K18" s="173" t="s">
        <v>156</v>
      </c>
      <c r="L18" s="90"/>
      <c r="M18" s="169"/>
    </row>
    <row r="19" spans="3:13" ht="15" customHeight="1">
      <c r="C19" s="26"/>
      <c r="D19" s="35" t="s">
        <v>193</v>
      </c>
      <c r="E19" s="168"/>
      <c r="F19" s="179">
        <v>10</v>
      </c>
      <c r="G19" s="76">
        <f>IF(F19="","INDATA SAKNAS",IF(OR(AND(SUM($F$45:$F$47)&gt;0,SUM(F19,F20)=0),(OR(F19&lt;0,F19&gt;=100))),"ORIMLIGT VÄRDE",""))</f>
      </c>
      <c r="H19" s="32"/>
      <c r="I19" s="32"/>
      <c r="J19" s="32"/>
      <c r="K19" s="35" t="s">
        <v>193</v>
      </c>
      <c r="L19" s="215"/>
      <c r="M19" s="180">
        <f>IF('3 Förutsättningar'!F19&gt;=0,Kod!P3,"")</f>
        <v>10</v>
      </c>
    </row>
    <row r="20" spans="3:13" ht="15" customHeight="1" thickBot="1">
      <c r="C20" s="26"/>
      <c r="D20" s="496" t="s">
        <v>201</v>
      </c>
      <c r="E20" s="497"/>
      <c r="F20" s="267">
        <v>0</v>
      </c>
      <c r="G20" s="76">
        <f>IF(TYPE(IF(F20="","INDATA SAKNAS",IF(OR(AND(SUM($F$45:$F$47)&gt;0,SUM(F19,F20)=0),OR(F20&lt;0,F20&gt;(F14/20000))),"ORIMLIGT VÄRDE","")))=16,"ORIMLIGT VÄRDE",IF(F20="","INDATA SAKNAS",IF(OR(AND(SUM($F$45:$F$47)&gt;0,SUM(F19,F20)=0),OR(F20&lt;0,F20&gt;(F14/20000))),"ORIMLIGT VÄRDE","")))</f>
      </c>
      <c r="H20" s="32"/>
      <c r="I20" s="32"/>
      <c r="J20" s="32"/>
      <c r="K20" s="496" t="s">
        <v>201</v>
      </c>
      <c r="L20" s="497"/>
      <c r="M20" s="187">
        <f>IF('3 Förutsättningar'!F20&gt;=0,Kod!I11,"")</f>
        <v>0</v>
      </c>
    </row>
    <row r="21" spans="3:12" ht="15" customHeight="1">
      <c r="C21" s="26"/>
      <c r="D21" s="32"/>
      <c r="E21" s="32"/>
      <c r="F21" s="177"/>
      <c r="G21" s="32"/>
      <c r="I21" s="32"/>
      <c r="J21" s="32"/>
      <c r="K21" s="32"/>
      <c r="L21" s="32"/>
    </row>
    <row r="22" spans="3:13" ht="15" customHeight="1" thickBot="1">
      <c r="C22" s="26"/>
      <c r="D22" s="494" t="s">
        <v>31</v>
      </c>
      <c r="E22" s="495"/>
      <c r="F22" s="34" t="s">
        <v>263</v>
      </c>
      <c r="G22" s="76"/>
      <c r="H22" s="32"/>
      <c r="I22" s="32"/>
      <c r="J22" s="32"/>
      <c r="K22" s="33" t="s">
        <v>31</v>
      </c>
      <c r="L22" s="32"/>
      <c r="M22" s="34" t="s">
        <v>263</v>
      </c>
    </row>
    <row r="23" spans="3:13" ht="15" customHeight="1">
      <c r="C23" s="26"/>
      <c r="D23" s="492" t="s">
        <v>243</v>
      </c>
      <c r="E23" s="493"/>
      <c r="F23" s="94">
        <v>6</v>
      </c>
      <c r="G23" s="76">
        <f>IF(F23="","INDATA SAKNAS",IF(OR(F23&lt;1,F23&gt;=50),"ORIMLIGT VÄRDE",""))</f>
      </c>
      <c r="H23" s="32"/>
      <c r="I23" s="32"/>
      <c r="J23" s="32"/>
      <c r="K23" s="492" t="s">
        <v>51</v>
      </c>
      <c r="L23" s="493"/>
      <c r="M23" s="16">
        <f>IF('3 Förutsättningar'!F23&gt;=0,Kod!I17,"")</f>
        <v>6</v>
      </c>
    </row>
    <row r="24" spans="3:13" ht="15" customHeight="1" thickBot="1">
      <c r="C24" s="26"/>
      <c r="D24" s="496" t="s">
        <v>43</v>
      </c>
      <c r="E24" s="497"/>
      <c r="F24" s="209">
        <v>0.41</v>
      </c>
      <c r="G24" s="76">
        <f>IF(F24="","INDATA SAKNAS",IF(OR(F24&lt;0.01,F24&gt;=0.99),"ORIMLIGT VÄRDE",""))</f>
      </c>
      <c r="H24" s="32"/>
      <c r="I24" s="32"/>
      <c r="J24" s="32"/>
      <c r="K24" s="496" t="s">
        <v>52</v>
      </c>
      <c r="L24" s="497"/>
      <c r="M24" s="210">
        <f>IF('3 Förutsättningar'!F24&gt;0,Kod!I18,"")</f>
        <v>0.41</v>
      </c>
    </row>
    <row r="25" spans="3:13" ht="15" customHeight="1" hidden="1" thickBot="1">
      <c r="C25" s="26"/>
      <c r="D25" s="500"/>
      <c r="E25" s="500"/>
      <c r="F25" s="195"/>
      <c r="G25" s="76"/>
      <c r="H25" s="32"/>
      <c r="I25" s="32"/>
      <c r="J25" s="32"/>
      <c r="K25" s="500"/>
      <c r="L25" s="500"/>
      <c r="M25" s="196"/>
    </row>
    <row r="26" spans="3:13" ht="15" customHeight="1">
      <c r="C26" s="26"/>
      <c r="D26" s="32"/>
      <c r="E26" s="32"/>
      <c r="F26" s="32"/>
      <c r="G26" s="32"/>
      <c r="H26" s="32"/>
      <c r="I26" s="32"/>
      <c r="J26" s="32"/>
      <c r="K26" s="32"/>
      <c r="L26" s="32"/>
      <c r="M26" s="32"/>
    </row>
    <row r="27" spans="3:13" ht="15" customHeight="1" thickBot="1">
      <c r="C27" s="26"/>
      <c r="D27" s="33" t="s">
        <v>261</v>
      </c>
      <c r="E27" s="32"/>
      <c r="F27" s="36" t="s">
        <v>262</v>
      </c>
      <c r="G27" s="76"/>
      <c r="H27" s="32"/>
      <c r="I27" s="32"/>
      <c r="J27" s="32"/>
      <c r="K27" s="33" t="s">
        <v>261</v>
      </c>
      <c r="L27" s="32"/>
      <c r="M27" s="36" t="s">
        <v>262</v>
      </c>
    </row>
    <row r="28" spans="3:13" ht="15" customHeight="1">
      <c r="C28" s="26"/>
      <c r="D28" s="492" t="s">
        <v>53</v>
      </c>
      <c r="E28" s="493"/>
      <c r="F28" s="91">
        <v>16</v>
      </c>
      <c r="G28" s="76">
        <f>IF(F28="","INDATA SAKNAS",IF(OR(F28&lt;0,F28&gt;=10000),"ORIMLIGT VÄRDE",""))</f>
      </c>
      <c r="H28" s="32"/>
      <c r="I28" s="32"/>
      <c r="J28" s="32"/>
      <c r="K28" s="492" t="s">
        <v>53</v>
      </c>
      <c r="L28" s="493"/>
      <c r="M28" s="56">
        <f>IF('3 Förutsättningar'!F28&gt;=0,Kod!I41,"")</f>
        <v>16</v>
      </c>
    </row>
    <row r="29" spans="3:13" ht="15" customHeight="1">
      <c r="C29" s="26"/>
      <c r="D29" s="483" t="s">
        <v>54</v>
      </c>
      <c r="E29" s="484"/>
      <c r="F29" s="93">
        <v>14</v>
      </c>
      <c r="G29" s="76">
        <f>IF(F29="","INDATA SAKNAS",IF(OR(F29&lt;0,F29&gt;=10000),"ORIMLIGT VÄRDE",""))</f>
      </c>
      <c r="H29" s="32"/>
      <c r="I29" s="32"/>
      <c r="J29" s="32"/>
      <c r="K29" s="483" t="s">
        <v>54</v>
      </c>
      <c r="L29" s="484"/>
      <c r="M29" s="57">
        <f>IF('3 Förutsättningar'!F29&gt;=0,Kod!I42,"")</f>
        <v>14</v>
      </c>
    </row>
    <row r="30" spans="3:13" ht="15" customHeight="1" thickBot="1">
      <c r="C30" s="26"/>
      <c r="D30" s="496" t="s">
        <v>10</v>
      </c>
      <c r="E30" s="497"/>
      <c r="F30" s="95">
        <v>27</v>
      </c>
      <c r="G30" s="76">
        <f>IF(F30="","INDATA SAKNAS",IF(OR(F30&lt;0,F30&gt;=10000),"ORIMLIGT VÄRDE",""))</f>
      </c>
      <c r="H30" s="32"/>
      <c r="I30" s="32"/>
      <c r="J30" s="32"/>
      <c r="K30" s="496" t="s">
        <v>10</v>
      </c>
      <c r="L30" s="497"/>
      <c r="M30" s="58">
        <f>IF('3 Förutsättningar'!F30&gt;=0,Kod!I43,"")</f>
        <v>27</v>
      </c>
    </row>
    <row r="31" spans="3:13" ht="15" customHeight="1">
      <c r="C31" s="26"/>
      <c r="D31" s="32"/>
      <c r="E31" s="32"/>
      <c r="F31" s="86"/>
      <c r="G31" s="89"/>
      <c r="H31" s="32"/>
      <c r="I31" s="32"/>
      <c r="J31" s="32"/>
      <c r="K31" s="501"/>
      <c r="L31" s="502"/>
      <c r="M31" s="32"/>
    </row>
    <row r="32" spans="3:13" ht="24.75" customHeight="1" thickBot="1">
      <c r="C32" s="26"/>
      <c r="D32" s="504" t="s">
        <v>55</v>
      </c>
      <c r="E32" s="495"/>
      <c r="F32" s="272" t="s">
        <v>258</v>
      </c>
      <c r="G32" s="89"/>
      <c r="H32" s="32"/>
      <c r="I32" s="32"/>
      <c r="J32" s="32"/>
      <c r="K32" s="504" t="s">
        <v>55</v>
      </c>
      <c r="L32" s="495"/>
      <c r="M32" s="59" t="s">
        <v>259</v>
      </c>
    </row>
    <row r="33" spans="3:13" ht="15" thickBot="1">
      <c r="C33" s="26"/>
      <c r="D33" s="500" t="s">
        <v>243</v>
      </c>
      <c r="E33" s="503"/>
      <c r="F33" s="268">
        <v>7</v>
      </c>
      <c r="G33" s="76">
        <f>IF(TYPE(IF(F33="","INDATA SAKNAS",IF(OR(F33&lt;1,F33&gt;=50,Kod!T10&gt;1),"ORIMLIGT VÄRDE","")))=16,"ORIMLIGT VÄRDE",IF(F33="","INDATA SAKNAS",IF(OR(F33&lt;1,F33&gt;=50,Kod!T10&gt;1),"ORIMLIGT VÄRDE","")))</f>
      </c>
      <c r="H33" s="32"/>
      <c r="I33" s="32"/>
      <c r="J33" s="32"/>
      <c r="K33" s="500" t="s">
        <v>243</v>
      </c>
      <c r="L33" s="503"/>
      <c r="M33" s="266">
        <f>IF(TYPE(IF(AND('3 Förutsättningar'!F33&gt;0,Kod!A6="ja"),Kod!I22,""))=16,"",IF(AND('3 Förutsättningar'!F33&gt;0,Kod!A6="ja"),Kod!I22,""))</f>
        <v>10.225055380845431</v>
      </c>
    </row>
    <row r="34" spans="3:13" ht="15" hidden="1" thickBot="1">
      <c r="C34" s="26"/>
      <c r="D34" s="498" t="s">
        <v>244</v>
      </c>
      <c r="E34" s="499"/>
      <c r="F34" s="195">
        <v>1</v>
      </c>
      <c r="G34" s="76">
        <f>IF(F34="","INDATA SAKNAS",IF(AND(F34=9,F15=10),"ORIMLIGT VÄRDE",IF(AND(F34&lt;&gt;9,F34&lt;&gt;10,F34&lt;&gt;11,F34&lt;&gt;12,F34&lt;&gt;1,F34&lt;&gt;2,F34&lt;&gt;3,F34&lt;&gt;4),"ORIMLIGT VÄRDE","")))</f>
      </c>
      <c r="H34" s="32"/>
      <c r="I34" s="32"/>
      <c r="J34" s="32"/>
      <c r="K34" s="498" t="s">
        <v>256</v>
      </c>
      <c r="L34" s="499"/>
      <c r="M34" s="264">
        <f>IF(AND('3 Förutsättningar'!F33&gt;0,Kod!A6="ja"),Kod!I5,"")</f>
        <v>9</v>
      </c>
    </row>
    <row r="35" spans="3:13" ht="14.25">
      <c r="C35" s="26"/>
      <c r="D35" s="35"/>
      <c r="E35" s="201"/>
      <c r="F35" s="218"/>
      <c r="G35" s="32"/>
      <c r="H35" s="32"/>
      <c r="I35" s="32"/>
      <c r="J35" s="32"/>
      <c r="K35" s="35"/>
      <c r="L35" s="201"/>
      <c r="M35" s="176"/>
    </row>
    <row r="36" spans="3:13" ht="24.75" customHeight="1" thickBot="1">
      <c r="C36" s="26"/>
      <c r="D36" s="504" t="s">
        <v>56</v>
      </c>
      <c r="E36" s="495"/>
      <c r="F36" s="36" t="s">
        <v>57</v>
      </c>
      <c r="G36" s="32"/>
      <c r="H36" s="272" t="s">
        <v>58</v>
      </c>
      <c r="I36" s="32"/>
      <c r="J36" s="32"/>
      <c r="K36" s="173" t="s">
        <v>56</v>
      </c>
      <c r="L36" s="90"/>
      <c r="M36" s="59" t="s">
        <v>259</v>
      </c>
    </row>
    <row r="37" spans="3:13" ht="15" customHeight="1">
      <c r="C37" s="26"/>
      <c r="D37" s="492" t="s">
        <v>43</v>
      </c>
      <c r="E37" s="493"/>
      <c r="F37" s="69">
        <v>0.36</v>
      </c>
      <c r="G37" s="76">
        <f>IF(OR(AND(F37&lt;&gt;"",F37&lt;=0.05),F37&gt;=0.8),"ORIMLIGT VÄRDE",IF(AND(SUM(F37:F38)&gt;0,F37=""),"INDATA SAKNAS",""))</f>
      </c>
      <c r="H37" s="69"/>
      <c r="I37" s="76">
        <f>IF(OR(AND(H37&lt;&gt;"",H37&lt;=0.05),H37&gt;=0.8),"ORIMLIGT VÄRDE",IF(AND(SUM(H37:H39)&gt;0,H37=""),"INDATA SAKNAS",""))</f>
      </c>
      <c r="J37" s="76"/>
      <c r="K37" s="492" t="s">
        <v>59</v>
      </c>
      <c r="L37" s="493"/>
      <c r="M37" s="197">
        <f>IF(TYPE(IF(AND(D2="",Kod!A6="ja"),Kod!I32,""))=16,"",IF(AND(D2="",Kod!A6="ja"),Kod!I32,""))</f>
        <v>0.36</v>
      </c>
    </row>
    <row r="38" spans="3:13" ht="15" customHeight="1" thickBot="1">
      <c r="C38" s="26"/>
      <c r="D38" s="483" t="s">
        <v>60</v>
      </c>
      <c r="E38" s="484"/>
      <c r="F38" s="269">
        <v>0.69</v>
      </c>
      <c r="G38" s="76">
        <f>IF(OR(AND(F38&lt;&gt;"",F38&lt;=0.1),F38&gt;=1.5),"ORIMLIGT VÄRDE",IF(AND(SUM(F37:F38)&gt;0,F38=""),"INDATA SAKNAS",""))</f>
      </c>
      <c r="H38" s="269"/>
      <c r="I38" s="76">
        <f>IF(OR(AND(H38&lt;&gt;"",H38&lt;=0.1),H38&gt;=1.5),"ORIMLIGT VÄRDE",IF(AND(SUM(H37:H39)&gt;0,H38=""),"INDATA SAKNAS",""))</f>
      </c>
      <c r="J38" s="76"/>
      <c r="K38" s="496" t="s">
        <v>60</v>
      </c>
      <c r="L38" s="497"/>
      <c r="M38" s="270">
        <f>IF(TYPE(IF(AND(D2="",Kod!A6="ja"),Kod!I35,""))=16,"",IF(AND(D2="",Kod!A6="ja"),Kod!I35,""))</f>
        <v>0.6900000000000001</v>
      </c>
    </row>
    <row r="39" spans="3:13" ht="15" customHeight="1" hidden="1" thickBot="1">
      <c r="C39" s="26"/>
      <c r="D39" s="496" t="s">
        <v>246</v>
      </c>
      <c r="E39" s="497"/>
      <c r="F39" s="216"/>
      <c r="G39" s="76"/>
      <c r="H39" s="202"/>
      <c r="I39" s="76">
        <f>IF(AND(SUM(H37:H39)&gt;0,H39=""),"INDATA SAKNAS",IF(AND(F39&lt;&gt;9,F39&lt;&gt;10,F39&lt;&gt;11,F39&lt;&gt;12,F39&lt;&gt;1,F39&lt;&gt;2,F39&lt;&gt;3,F39&lt;&gt;4),"","ORIMLIGT VÄRDE"))</f>
      </c>
      <c r="J39" s="76"/>
      <c r="K39" s="498" t="s">
        <v>246</v>
      </c>
      <c r="L39" s="499"/>
      <c r="M39" s="264" t="str">
        <f>IF(AND(D2="",Kod!A6="ja",I39="",H39&lt;&gt;""),Kod!I51,"-")</f>
        <v>-</v>
      </c>
    </row>
    <row r="40" spans="3:13" ht="15" customHeight="1">
      <c r="C40" s="26"/>
      <c r="D40" s="203"/>
      <c r="E40" s="204"/>
      <c r="F40" s="217"/>
      <c r="G40" s="76"/>
      <c r="H40" s="219"/>
      <c r="I40" s="76"/>
      <c r="J40" s="76"/>
      <c r="K40" s="35"/>
      <c r="L40" s="174"/>
      <c r="M40" s="205"/>
    </row>
    <row r="41" spans="3:13" ht="15" customHeight="1" thickBot="1">
      <c r="C41" s="26"/>
      <c r="D41" s="32"/>
      <c r="E41" s="32"/>
      <c r="F41" s="36" t="s">
        <v>61</v>
      </c>
      <c r="G41" s="200"/>
      <c r="H41" s="32"/>
      <c r="I41" s="198" t="s">
        <v>192</v>
      </c>
      <c r="J41" s="32"/>
      <c r="K41" s="90"/>
      <c r="L41" s="90"/>
      <c r="M41" s="59" t="s">
        <v>259</v>
      </c>
    </row>
    <row r="42" spans="3:13" ht="15" customHeight="1" thickBot="1">
      <c r="C42" s="26"/>
      <c r="D42" s="128" t="s">
        <v>42</v>
      </c>
      <c r="E42" s="199"/>
      <c r="F42" s="96">
        <v>0.52</v>
      </c>
      <c r="G42" s="76">
        <f>IF(OR(AND(F42&lt;&gt;"",F42&lt;=0.4),F42&gt;=0.7),"ORIMLIGT VÄRDE","")</f>
      </c>
      <c r="H42" s="32"/>
      <c r="I42" s="32"/>
      <c r="J42" s="32"/>
      <c r="K42" s="500" t="s">
        <v>42</v>
      </c>
      <c r="L42" s="503"/>
      <c r="M42" s="60">
        <f>IF(TYPE(IF(AND(D2="",Kod!A6="ja"),Kod!I31,""))=16,"",IF(AND(D2="",Kod!A6="ja"),Kod!I31,""))</f>
        <v>0.52</v>
      </c>
    </row>
    <row r="43" spans="3:13" ht="15" customHeight="1">
      <c r="C43" s="26"/>
      <c r="D43" s="32"/>
      <c r="E43" s="32"/>
      <c r="F43" s="32"/>
      <c r="G43" s="32"/>
      <c r="H43" s="32"/>
      <c r="I43" s="32"/>
      <c r="J43" s="32"/>
      <c r="K43" s="84"/>
      <c r="L43" s="32"/>
      <c r="M43" s="84"/>
    </row>
    <row r="44" spans="3:13" ht="15" customHeight="1" thickBot="1">
      <c r="C44" s="26"/>
      <c r="D44" s="504" t="s">
        <v>62</v>
      </c>
      <c r="E44" s="495"/>
      <c r="F44" s="36" t="s">
        <v>64</v>
      </c>
      <c r="G44" s="36" t="s">
        <v>63</v>
      </c>
      <c r="H44" s="36" t="s">
        <v>65</v>
      </c>
      <c r="I44" s="37"/>
      <c r="J44" s="37"/>
      <c r="K44" s="173" t="s">
        <v>62</v>
      </c>
      <c r="L44" s="32"/>
      <c r="M44" s="37" t="s">
        <v>13</v>
      </c>
    </row>
    <row r="45" spans="3:13" ht="15" customHeight="1">
      <c r="C45" s="26"/>
      <c r="D45" s="492" t="s">
        <v>66</v>
      </c>
      <c r="E45" s="493"/>
      <c r="F45" s="97"/>
      <c r="G45" s="13"/>
      <c r="H45" s="13">
        <v>1</v>
      </c>
      <c r="I45" s="76" t="str">
        <f>IF(OR(F45&lt;0,G45&lt;0,H45&lt;0,SUM(F45:H45)&gt;($F$23*$F$14/1000*0.3)),"ORIMLIGT VÄRDE",IF(AND(COUNTA($F$45:$F$47)&gt;0,$F$45=""),"INDATA SAKNAS",IF(AND(COUNTA($G$45:$H$47)&gt;0,OR($G$45="",$H$45="")),"INDATA SAKNAS","")))</f>
        <v>INDATA SAKNAS</v>
      </c>
      <c r="J45" s="76"/>
      <c r="K45" s="492" t="s">
        <v>66</v>
      </c>
      <c r="L45" s="493"/>
      <c r="M45" s="17">
        <f>IF(TYPE(IF(AND(D2="",Kod!A6="ja"),Kod!W72,""))=16,"",IF(AND(D2="",Kod!A6="ja"),Kod!W72,""))</f>
        <v>1.008219723653229</v>
      </c>
    </row>
    <row r="46" spans="3:13" ht="15" customHeight="1">
      <c r="C46" s="26"/>
      <c r="D46" s="483" t="s">
        <v>67</v>
      </c>
      <c r="E46" s="484"/>
      <c r="F46" s="98"/>
      <c r="G46" s="14"/>
      <c r="H46" s="14">
        <v>1</v>
      </c>
      <c r="I46" s="76" t="str">
        <f>IF(OR(F46&lt;0,G46&lt;0,H46&lt;0,SUM(F46:H46)&gt;($F$23*$F$14/1000*0.3)),"ORIMLIGT VÄRDE",IF(AND(COUNTA($F$45:$F$47)&gt;0,$F$46=""),"INDATA SAKNAS",IF(AND(COUNTA($G$45:$H$47)&gt;0,OR($G$46="",$H$46="")),"INDATA SAKNAS","")))</f>
        <v>INDATA SAKNAS</v>
      </c>
      <c r="J46" s="76"/>
      <c r="K46" s="483" t="s">
        <v>67</v>
      </c>
      <c r="L46" s="484"/>
      <c r="M46" s="18">
        <f>IF(TYPE(IF(AND(D2="",Kod!A6="ja"),Kod!W73,""))=16,"",IF(AND(D2="",Kod!A6="ja"),Kod!W73,""))</f>
        <v>2.329274846476478</v>
      </c>
    </row>
    <row r="47" spans="3:13" ht="15" customHeight="1" thickBot="1">
      <c r="C47" s="26"/>
      <c r="D47" s="508" t="s">
        <v>116</v>
      </c>
      <c r="E47" s="509"/>
      <c r="F47" s="99"/>
      <c r="G47" s="15"/>
      <c r="H47" s="15">
        <v>1</v>
      </c>
      <c r="I47" s="76" t="str">
        <f>IF(OR(F47&lt;0,G47&lt;0,H47&lt;0,SUM(F47:H47)&gt;($F$23*$F$14/1000*0.3)),"ORIMLIGT VÄRDE",IF(AND(COUNTA($F$45:$F$47)&gt;0,$F$47=""),"INDATA SAKNAS",IF(AND(COUNTA($G$45:$H$47)&gt;0,OR($G$47="",$H$47="")),"INDATA SAKNAS","")))</f>
        <v>INDATA SAKNAS</v>
      </c>
      <c r="J47" s="76"/>
      <c r="K47" s="496" t="s">
        <v>116</v>
      </c>
      <c r="L47" s="497"/>
      <c r="M47" s="19">
        <f>IF(TYPE(IF(AND(D2="",Kod!A6="ja"),Kod!W74,""))=16,"",IF(AND(D2="",Kod!A6="ja"),Kod!W74,""))</f>
        <v>1.6654872073754157</v>
      </c>
    </row>
    <row r="48" spans="3:13" ht="15" customHeight="1">
      <c r="C48" s="26"/>
      <c r="D48" s="32"/>
      <c r="E48" s="32"/>
      <c r="F48" s="32"/>
      <c r="G48" s="32"/>
      <c r="H48" s="37"/>
      <c r="I48" s="37"/>
      <c r="J48" s="37"/>
      <c r="K48" s="32"/>
      <c r="M48" s="83"/>
    </row>
    <row r="49" spans="3:13" ht="15" customHeight="1">
      <c r="C49" s="26"/>
      <c r="D49" s="38" t="s">
        <v>120</v>
      </c>
      <c r="E49" s="38"/>
      <c r="F49" s="38"/>
      <c r="G49" s="38"/>
      <c r="H49" s="38"/>
      <c r="I49" s="38"/>
      <c r="J49" s="38"/>
      <c r="K49" s="38"/>
      <c r="L49" s="32"/>
      <c r="M49" s="32"/>
    </row>
    <row r="50" spans="3:14" ht="19.5" customHeight="1">
      <c r="C50" s="26"/>
      <c r="D50" s="505"/>
      <c r="E50" s="506"/>
      <c r="F50" s="506"/>
      <c r="G50" s="506"/>
      <c r="H50" s="506"/>
      <c r="I50" s="506"/>
      <c r="J50" s="506"/>
      <c r="K50" s="506"/>
      <c r="L50" s="506"/>
      <c r="M50" s="507"/>
      <c r="N50" s="121"/>
    </row>
    <row r="51" spans="3:14" ht="19.5" customHeight="1">
      <c r="C51" s="26"/>
      <c r="D51" s="505"/>
      <c r="E51" s="506"/>
      <c r="F51" s="506"/>
      <c r="G51" s="506"/>
      <c r="H51" s="506"/>
      <c r="I51" s="506"/>
      <c r="J51" s="506"/>
      <c r="K51" s="506"/>
      <c r="L51" s="506"/>
      <c r="M51" s="507"/>
      <c r="N51" s="121"/>
    </row>
    <row r="52" spans="3:14" ht="19.5" customHeight="1">
      <c r="C52" s="26"/>
      <c r="D52" s="505"/>
      <c r="E52" s="510"/>
      <c r="F52" s="510"/>
      <c r="G52" s="510"/>
      <c r="H52" s="510"/>
      <c r="I52" s="510"/>
      <c r="J52" s="510"/>
      <c r="K52" s="510"/>
      <c r="L52" s="510"/>
      <c r="M52" s="511"/>
      <c r="N52" s="121"/>
    </row>
    <row r="53" spans="3:14" ht="19.5" customHeight="1">
      <c r="C53" s="38"/>
      <c r="D53" s="505"/>
      <c r="E53" s="506"/>
      <c r="F53" s="506"/>
      <c r="G53" s="506"/>
      <c r="H53" s="506"/>
      <c r="I53" s="506"/>
      <c r="J53" s="506"/>
      <c r="K53" s="506"/>
      <c r="L53" s="506"/>
      <c r="M53" s="507"/>
      <c r="N53" s="121"/>
    </row>
    <row r="54" spans="3:13" ht="15">
      <c r="C54" s="38"/>
      <c r="D54" s="32"/>
      <c r="E54" s="32"/>
      <c r="F54" s="32"/>
      <c r="G54" s="32"/>
      <c r="H54" s="32"/>
      <c r="I54" s="32"/>
      <c r="J54" s="32"/>
      <c r="K54" s="32"/>
      <c r="L54" s="32"/>
      <c r="M54" s="32"/>
    </row>
    <row r="55" spans="3:13" ht="15">
      <c r="C55" s="38"/>
      <c r="D55" s="32"/>
      <c r="E55" s="32"/>
      <c r="F55" s="32"/>
      <c r="G55" s="32"/>
      <c r="H55" s="32"/>
      <c r="I55" s="32"/>
      <c r="J55" s="32"/>
      <c r="K55" s="32"/>
      <c r="L55" s="32"/>
      <c r="M55" s="32"/>
    </row>
    <row r="56" spans="3:13" ht="15">
      <c r="C56" s="38"/>
      <c r="D56" s="32"/>
      <c r="E56" s="32"/>
      <c r="F56" s="32"/>
      <c r="G56" s="32"/>
      <c r="H56" s="32"/>
      <c r="I56" s="32"/>
      <c r="J56" s="32"/>
      <c r="K56" s="32"/>
      <c r="L56" s="32"/>
      <c r="M56" s="32"/>
    </row>
    <row r="57" spans="3:13" ht="15">
      <c r="C57" s="38"/>
      <c r="D57" s="32"/>
      <c r="E57" s="32"/>
      <c r="F57" s="32"/>
      <c r="G57" s="32"/>
      <c r="H57" s="32"/>
      <c r="I57" s="32"/>
      <c r="J57" s="32"/>
      <c r="K57" s="32"/>
      <c r="L57" s="32"/>
      <c r="M57" s="32"/>
    </row>
    <row r="58" spans="3:13" ht="15">
      <c r="C58" s="38"/>
      <c r="D58" s="32"/>
      <c r="E58" s="32"/>
      <c r="F58" s="32"/>
      <c r="G58" s="32"/>
      <c r="H58" s="32"/>
      <c r="I58" s="32"/>
      <c r="J58" s="32"/>
      <c r="K58" s="32"/>
      <c r="L58" s="32"/>
      <c r="M58" s="32"/>
    </row>
    <row r="59" spans="3:13" ht="15">
      <c r="C59" s="38"/>
      <c r="D59" s="32"/>
      <c r="E59" s="32"/>
      <c r="F59" s="32"/>
      <c r="G59" s="32"/>
      <c r="H59" s="32"/>
      <c r="I59" s="32"/>
      <c r="J59" s="32"/>
      <c r="K59" s="32"/>
      <c r="L59" s="32"/>
      <c r="M59" s="32"/>
    </row>
    <row r="60" spans="3:13" ht="15">
      <c r="C60" s="38"/>
      <c r="D60" s="32"/>
      <c r="E60" s="32"/>
      <c r="F60" s="32"/>
      <c r="G60" s="32"/>
      <c r="H60" s="32"/>
      <c r="I60" s="32"/>
      <c r="J60" s="32"/>
      <c r="K60" s="32"/>
      <c r="L60" s="32"/>
      <c r="M60" s="32"/>
    </row>
  </sheetData>
  <sheetProtection sheet="1" selectLockedCells="1"/>
  <mergeCells count="57">
    <mergeCell ref="D46:E46"/>
    <mergeCell ref="D53:M53"/>
    <mergeCell ref="K45:L45"/>
    <mergeCell ref="K46:L46"/>
    <mergeCell ref="K47:L47"/>
    <mergeCell ref="D44:E44"/>
    <mergeCell ref="D51:M51"/>
    <mergeCell ref="D50:M50"/>
    <mergeCell ref="D47:E47"/>
    <mergeCell ref="D52:M52"/>
    <mergeCell ref="D45:E45"/>
    <mergeCell ref="D32:E32"/>
    <mergeCell ref="D39:E39"/>
    <mergeCell ref="D34:E34"/>
    <mergeCell ref="D36:E36"/>
    <mergeCell ref="D38:E38"/>
    <mergeCell ref="D37:E37"/>
    <mergeCell ref="K31:L31"/>
    <mergeCell ref="D29:E29"/>
    <mergeCell ref="K33:L33"/>
    <mergeCell ref="K32:L32"/>
    <mergeCell ref="K42:L42"/>
    <mergeCell ref="K37:L37"/>
    <mergeCell ref="K38:L38"/>
    <mergeCell ref="K39:L39"/>
    <mergeCell ref="K34:L34"/>
    <mergeCell ref="D33:E33"/>
    <mergeCell ref="K20:L20"/>
    <mergeCell ref="K24:L24"/>
    <mergeCell ref="D30:E30"/>
    <mergeCell ref="K28:L28"/>
    <mergeCell ref="K29:L29"/>
    <mergeCell ref="D24:E24"/>
    <mergeCell ref="K25:L25"/>
    <mergeCell ref="D25:E25"/>
    <mergeCell ref="D28:E28"/>
    <mergeCell ref="K30:L30"/>
    <mergeCell ref="K13:L13"/>
    <mergeCell ref="D13:E13"/>
    <mergeCell ref="K23:L23"/>
    <mergeCell ref="D22:E22"/>
    <mergeCell ref="D15:E15"/>
    <mergeCell ref="D16:E16"/>
    <mergeCell ref="D20:E20"/>
    <mergeCell ref="D23:E23"/>
    <mergeCell ref="K15:L15"/>
    <mergeCell ref="K16:L16"/>
    <mergeCell ref="D1:M1"/>
    <mergeCell ref="E4:F4"/>
    <mergeCell ref="K4:M4"/>
    <mergeCell ref="I4:J4"/>
    <mergeCell ref="D14:E14"/>
    <mergeCell ref="F5:M5"/>
    <mergeCell ref="E3:M3"/>
    <mergeCell ref="D5:E5"/>
    <mergeCell ref="D8:M9"/>
    <mergeCell ref="K14:L14"/>
  </mergeCells>
  <conditionalFormatting sqref="M28:M30 M19:M20 M13:M17 M23:M25 M33:M34">
    <cfRule type="cellIs" priority="75" dxfId="49" operator="equal" stopIfTrue="1">
      <formula>"SAKNAS"</formula>
    </cfRule>
  </conditionalFormatting>
  <conditionalFormatting sqref="F19 F25">
    <cfRule type="expression" priority="69" dxfId="68" stopIfTrue="1">
      <formula>G19=""</formula>
    </cfRule>
  </conditionalFormatting>
  <conditionalFormatting sqref="F16">
    <cfRule type="expression" priority="62" dxfId="68" stopIfTrue="1">
      <formula>G16=""</formula>
    </cfRule>
  </conditionalFormatting>
  <conditionalFormatting sqref="F23">
    <cfRule type="expression" priority="59" dxfId="68" stopIfTrue="1">
      <formula>G23=""</formula>
    </cfRule>
  </conditionalFormatting>
  <conditionalFormatting sqref="F24">
    <cfRule type="expression" priority="55" dxfId="68" stopIfTrue="1">
      <formula>G24=""</formula>
    </cfRule>
  </conditionalFormatting>
  <conditionalFormatting sqref="F33">
    <cfRule type="expression" priority="32" dxfId="68" stopIfTrue="1">
      <formula>G33=""</formula>
    </cfRule>
  </conditionalFormatting>
  <conditionalFormatting sqref="F20">
    <cfRule type="expression" priority="29" dxfId="68" stopIfTrue="1">
      <formula>G20=""</formula>
    </cfRule>
  </conditionalFormatting>
  <conditionalFormatting sqref="F34">
    <cfRule type="expression" priority="24" dxfId="68" stopIfTrue="1">
      <formula>G34=""</formula>
    </cfRule>
  </conditionalFormatting>
  <conditionalFormatting sqref="M35">
    <cfRule type="cellIs" priority="22" dxfId="49" operator="equal" stopIfTrue="1">
      <formula>"SAKNAS"</formula>
    </cfRule>
  </conditionalFormatting>
  <conditionalFormatting sqref="E3:F3">
    <cfRule type="expression" priority="9" dxfId="69" stopIfTrue="1">
      <formula>$E$3&lt;&gt;""</formula>
    </cfRule>
  </conditionalFormatting>
  <conditionalFormatting sqref="K4:L4">
    <cfRule type="expression" priority="8" dxfId="69" stopIfTrue="1">
      <formula>$K$4&lt;&gt;""</formula>
    </cfRule>
  </conditionalFormatting>
  <conditionalFormatting sqref="H4">
    <cfRule type="expression" priority="7" dxfId="70" stopIfTrue="1">
      <formula>$H$4&lt;&gt;""</formula>
    </cfRule>
  </conditionalFormatting>
  <conditionalFormatting sqref="E4:F4">
    <cfRule type="expression" priority="6" dxfId="71" stopIfTrue="1">
      <formula>$E$4&lt;&gt;""</formula>
    </cfRule>
  </conditionalFormatting>
  <conditionalFormatting sqref="F13 F15">
    <cfRule type="expression" priority="5" dxfId="68" stopIfTrue="1">
      <formula>G13=""</formula>
    </cfRule>
  </conditionalFormatting>
  <conditionalFormatting sqref="F14">
    <cfRule type="expression" priority="4" dxfId="68" stopIfTrue="1">
      <formula>G14=""</formula>
    </cfRule>
  </conditionalFormatting>
  <conditionalFormatting sqref="F28">
    <cfRule type="expression" priority="3" dxfId="68" stopIfTrue="1">
      <formula>G28=""</formula>
    </cfRule>
  </conditionalFormatting>
  <conditionalFormatting sqref="F29">
    <cfRule type="expression" priority="2" dxfId="68" stopIfTrue="1">
      <formula>G29=""</formula>
    </cfRule>
  </conditionalFormatting>
  <conditionalFormatting sqref="F30">
    <cfRule type="expression" priority="1" dxfId="68" stopIfTrue="1">
      <formula>G30=""</formula>
    </cfRule>
  </conditionalFormatting>
  <printOptions/>
  <pageMargins left="0.7086614173228347" right="0.7086614173228347" top="0.7480314960629921" bottom="0.7480314960629921" header="0.31496062992125984" footer="0.31496062992125984"/>
  <pageSetup fitToHeight="1" fitToWidth="1" horizontalDpi="360" verticalDpi="360" orientation="portrait" paperSize="9" scale="63" r:id="rId4"/>
  <headerFooter>
    <oddFooter>&amp;C&amp;A</oddFooter>
  </headerFooter>
  <drawing r:id="rId3"/>
  <legacyDrawing r:id="rId2"/>
</worksheet>
</file>

<file path=xl/worksheets/sheet6.xml><?xml version="1.0" encoding="utf-8"?>
<worksheet xmlns="http://schemas.openxmlformats.org/spreadsheetml/2006/main" xmlns:r="http://schemas.openxmlformats.org/officeDocument/2006/relationships">
  <dimension ref="A1:BC125"/>
  <sheetViews>
    <sheetView zoomScale="60" zoomScaleNormal="60" zoomScalePageLayoutView="0" workbookViewId="0" topLeftCell="A1">
      <selection activeCell="A15" sqref="A15"/>
    </sheetView>
  </sheetViews>
  <sheetFormatPr defaultColWidth="9.00390625" defaultRowHeight="14.25"/>
  <cols>
    <col min="1" max="1" width="19.00390625" style="278" customWidth="1"/>
    <col min="2" max="2" width="9.00390625" style="278" customWidth="1"/>
    <col min="3" max="3" width="26.625" style="281" customWidth="1"/>
    <col min="4" max="5" width="8.625" style="281" customWidth="1"/>
    <col min="6" max="6" width="19.875" style="281" customWidth="1"/>
    <col min="7" max="8" width="8.625" style="281" customWidth="1"/>
    <col min="9" max="9" width="17.375" style="281" customWidth="1"/>
    <col min="10" max="10" width="9.00390625" style="278" customWidth="1"/>
    <col min="11" max="11" width="26.625" style="278" customWidth="1"/>
    <col min="12" max="14" width="9.00390625" style="278" customWidth="1"/>
    <col min="15" max="15" width="12.00390625" style="278" bestFit="1" customWidth="1"/>
    <col min="16" max="16" width="11.875" style="278" bestFit="1" customWidth="1"/>
    <col min="17" max="17" width="9.00390625" style="278" customWidth="1"/>
    <col min="18" max="18" width="26.625" style="281" customWidth="1"/>
    <col min="19" max="21" width="8.75390625" style="281" customWidth="1"/>
    <col min="22" max="22" width="8.625" style="281" customWidth="1"/>
    <col min="23" max="23" width="8.75390625" style="281" customWidth="1"/>
    <col min="24" max="24" width="9.00390625" style="278" customWidth="1"/>
    <col min="25" max="25" width="16.625" style="278" customWidth="1"/>
    <col min="26" max="34" width="8.625" style="278" customWidth="1"/>
    <col min="35" max="35" width="18.625" style="278" customWidth="1"/>
    <col min="36" max="36" width="8.625" style="278" customWidth="1"/>
    <col min="37" max="37" width="8.625" style="284" customWidth="1"/>
    <col min="38" max="40" width="8.625" style="278" customWidth="1"/>
    <col min="41" max="41" width="8.625" style="281" customWidth="1"/>
    <col min="42" max="42" width="16.625" style="3" customWidth="1"/>
    <col min="43" max="47" width="8.625" style="3" customWidth="1"/>
    <col min="48" max="48" width="8.75390625" style="281" customWidth="1"/>
    <col min="49" max="61" width="9.00390625" style="3" customWidth="1"/>
    <col min="62" max="62" width="9.00390625" style="278" customWidth="1"/>
    <col min="63" max="64" width="10.375" style="278" customWidth="1"/>
    <col min="65" max="16384" width="9.00390625" style="278" customWidth="1"/>
  </cols>
  <sheetData>
    <row r="1" spans="1:47" ht="14.25">
      <c r="A1" s="277" t="s">
        <v>257</v>
      </c>
      <c r="C1" s="279" t="s">
        <v>49</v>
      </c>
      <c r="D1" s="280"/>
      <c r="E1" s="280"/>
      <c r="F1" s="280"/>
      <c r="G1" s="280"/>
      <c r="H1" s="280"/>
      <c r="I1" s="280"/>
      <c r="J1" s="281"/>
      <c r="K1" s="279" t="s">
        <v>133</v>
      </c>
      <c r="L1" s="280"/>
      <c r="M1" s="282"/>
      <c r="N1" s="280"/>
      <c r="O1" s="281"/>
      <c r="P1" s="280"/>
      <c r="R1" s="279" t="s">
        <v>177</v>
      </c>
      <c r="S1" s="280"/>
      <c r="T1" s="280"/>
      <c r="U1" s="280"/>
      <c r="V1" s="280"/>
      <c r="W1" s="280"/>
      <c r="Y1" s="283" t="s">
        <v>215</v>
      </c>
      <c r="AI1" s="283" t="s">
        <v>179</v>
      </c>
      <c r="AO1" s="285"/>
      <c r="AP1" s="283" t="s">
        <v>179</v>
      </c>
      <c r="AQ1" s="278"/>
      <c r="AR1" s="284"/>
      <c r="AS1" s="278"/>
      <c r="AT1" s="278"/>
      <c r="AU1" s="278"/>
    </row>
    <row r="2" spans="1:47" ht="14.25">
      <c r="A2" s="286" t="str">
        <f>IF(AND('3 Förutsättningar'!E3&lt;&gt;"",'3 Förutsättningar'!E4&lt;&gt;"",'3 Förutsättningar'!H4&lt;&gt;"",'3 Förutsättningar'!K4&lt;&gt;""),"ja","nej")</f>
        <v>ja</v>
      </c>
      <c r="C2" s="280"/>
      <c r="D2" s="287" t="s">
        <v>127</v>
      </c>
      <c r="E2" s="445" t="s">
        <v>292</v>
      </c>
      <c r="F2" s="288"/>
      <c r="G2" s="288"/>
      <c r="H2" s="288"/>
      <c r="I2" s="289" t="s">
        <v>197</v>
      </c>
      <c r="K2" s="290"/>
      <c r="L2" s="291" t="s">
        <v>127</v>
      </c>
      <c r="M2" s="288" t="s">
        <v>161</v>
      </c>
      <c r="N2" s="445" t="s">
        <v>292</v>
      </c>
      <c r="O2" s="288" t="s">
        <v>293</v>
      </c>
      <c r="P2" s="289" t="s">
        <v>197</v>
      </c>
      <c r="R2" s="287" t="s">
        <v>64</v>
      </c>
      <c r="S2" s="289" t="s">
        <v>127</v>
      </c>
      <c r="T2" s="288" t="s">
        <v>161</v>
      </c>
      <c r="U2" s="288" t="s">
        <v>199</v>
      </c>
      <c r="V2" s="288" t="s">
        <v>200</v>
      </c>
      <c r="W2" s="289" t="s">
        <v>197</v>
      </c>
      <c r="Z2" s="277" t="str">
        <f>IF(Z3=4,"apr",IF(Z3=3,"mar",IF(Z3=2,"feb",IF(Z3=1,"jan",IF(Z3=12,"dec",IF(Z3=11,"nov",IF(Z3=10,"okt",IF(Z3=9,"sep",""))))))))</f>
        <v>jan</v>
      </c>
      <c r="AA2" s="277" t="str">
        <f aca="true" t="shared" si="0" ref="AA2:AH2">IF(AA3=4,"apr",IF(AA3=3,"mar",IF(AA3=2,"feb",IF(AA3=1,"jan",IF(AA3=12,"dec",IF(AA3=11,"nov",IF(AA3=10,"okt",IF(AA3=9,"sep",""))))))))</f>
        <v>dec</v>
      </c>
      <c r="AB2" s="277" t="str">
        <f t="shared" si="0"/>
        <v>nov</v>
      </c>
      <c r="AC2" s="277" t="str">
        <f t="shared" si="0"/>
        <v>okt</v>
      </c>
      <c r="AD2" s="277" t="str">
        <f t="shared" si="0"/>
        <v>sep</v>
      </c>
      <c r="AE2" s="277">
        <f t="shared" si="0"/>
      </c>
      <c r="AF2" s="277">
        <f t="shared" si="0"/>
      </c>
      <c r="AG2" s="277">
        <f t="shared" si="0"/>
      </c>
      <c r="AH2" s="277">
        <f t="shared" si="0"/>
      </c>
      <c r="AI2" s="292"/>
      <c r="AJ2" s="293"/>
      <c r="AK2" s="293">
        <f>'3 Förutsättningar'!$M$13</f>
        <v>2022</v>
      </c>
      <c r="AL2" s="293">
        <f>AK2+1</f>
        <v>2023</v>
      </c>
      <c r="AM2" s="293">
        <f>AL2+1</f>
        <v>2024</v>
      </c>
      <c r="AN2" s="293">
        <f>AM2+1</f>
        <v>2025</v>
      </c>
      <c r="AO2" s="294"/>
      <c r="AP2" s="292"/>
      <c r="AQ2" s="293"/>
      <c r="AR2" s="293">
        <f>AK2</f>
        <v>2022</v>
      </c>
      <c r="AS2" s="293">
        <f>AL2</f>
        <v>2023</v>
      </c>
      <c r="AT2" s="293">
        <f>AM2</f>
        <v>2024</v>
      </c>
      <c r="AU2" s="293">
        <f>AN2</f>
        <v>2025</v>
      </c>
    </row>
    <row r="3" spans="1:47" ht="14.25">
      <c r="A3" s="286" t="str">
        <f>IF(AND('4 Avskjutning&amp;Prognos'!E4&lt;&gt;"",'4 Avskjutning&amp;Prognos'!H4&lt;&gt;"",'4 Avskjutning&amp;Prognos'!K4&lt;&gt;""),"ja","nej")</f>
        <v>ja</v>
      </c>
      <c r="C3" s="295" t="s">
        <v>7</v>
      </c>
      <c r="D3" s="296">
        <f>'3 Förutsättningar'!F13</f>
        <v>2022</v>
      </c>
      <c r="E3" s="280"/>
      <c r="F3" s="280"/>
      <c r="G3" s="280"/>
      <c r="H3" s="280"/>
      <c r="I3" s="297">
        <f>IF(AND(D3&gt;0,'3 Förutsättningar'!G13&lt;&gt;"ORIMLIGT VÄRDE"),D3,"")</f>
        <v>2022</v>
      </c>
      <c r="K3" s="178" t="s">
        <v>70</v>
      </c>
      <c r="L3" s="298">
        <f>IF('3 Förutsättningar'!F19&lt;&gt;"",'3 Förutsättningar'!F19,"")</f>
        <v>10</v>
      </c>
      <c r="M3" s="282"/>
      <c r="N3" s="298">
        <f>IF('Bilaga I Beräkn.stöd predation'!G19&lt;&gt;"",'Bilaga I Beräkn.stöd predation'!G19,"")</f>
        <v>10</v>
      </c>
      <c r="O3" s="280"/>
      <c r="P3" s="299">
        <f>IF(AND(L3&gt;=0,'3 Förutsättningar'!G19&lt;&gt;"ORIMLIGT VÄRDE"),L3,"")</f>
        <v>10</v>
      </c>
      <c r="R3" s="300" t="s">
        <v>11</v>
      </c>
      <c r="S3" s="301">
        <f>IF(OR(OR('3 Förutsättningar'!$I$45&lt;&gt;"",'3 Förutsättningar'!$I$46&lt;&gt;"",'3 Förutsättningar'!$I$47&lt;&gt;""),OR('3 Förutsättningar'!$F$45="",'3 Förutsättningar'!$F$46="",'3 Förutsättningar'!$F$47="")),"",'3 Förutsättningar'!F45)</f>
      </c>
      <c r="T3" s="302">
        <f>SUM(T16,T29)</f>
        <v>0.13727250000000013</v>
      </c>
      <c r="U3" s="303">
        <f>IF(S3&lt;&gt;"",S3,T3)</f>
        <v>0.13727250000000013</v>
      </c>
      <c r="V3" s="304">
        <f>AB23+AB19</f>
        <v>0.09027682951849686</v>
      </c>
      <c r="W3" s="304">
        <f>IF(S3&lt;&gt;"",U3,V3)</f>
        <v>0.09027682951849686</v>
      </c>
      <c r="Y3" s="292"/>
      <c r="Z3" s="305">
        <f>$I$49</f>
        <v>1</v>
      </c>
      <c r="AA3" s="306">
        <f>IF(Z$3=1,12,Z$3-1)</f>
        <v>12</v>
      </c>
      <c r="AB3" s="306">
        <f aca="true" t="shared" si="1" ref="AB3:AG3">IF(AA$3=1,12,AA$3-1)</f>
        <v>11</v>
      </c>
      <c r="AC3" s="306">
        <f t="shared" si="1"/>
        <v>10</v>
      </c>
      <c r="AD3" s="306">
        <f t="shared" si="1"/>
        <v>9</v>
      </c>
      <c r="AE3" s="306">
        <f t="shared" si="1"/>
        <v>8</v>
      </c>
      <c r="AF3" s="306">
        <f t="shared" si="1"/>
        <v>7</v>
      </c>
      <c r="AG3" s="306">
        <f t="shared" si="1"/>
        <v>6</v>
      </c>
      <c r="AH3" s="277">
        <f aca="true" t="shared" si="2" ref="AH3:AH8">IF(AH4=4,"apr",IF(AH4=3,"mar",IF(AH4=2,"feb",IF(AH4=1,"jan",IF(AH4=12,"dec",IF(AH4=11,"nov",IF(AH4=10,"okt",IF(AH4=9,"sep",""))))))))</f>
      </c>
      <c r="AI3" s="307" t="s">
        <v>18</v>
      </c>
      <c r="AJ3" s="307" t="s">
        <v>19</v>
      </c>
      <c r="AK3" s="308"/>
      <c r="AL3" s="308">
        <f>IF(AK5-AK12=0,0,AK5-AK12)</f>
        <v>29.725739377390067</v>
      </c>
      <c r="AM3" s="308">
        <f>IF(AL5-AL12=0,0,AL5-AL12)</f>
        <v>29.50277402469579</v>
      </c>
      <c r="AN3" s="308">
        <f>IF(AM5-AM12=0,0,AM5-AM12)</f>
        <v>28.190883649953143</v>
      </c>
      <c r="AO3" s="309"/>
      <c r="AP3" s="278" t="s">
        <v>18</v>
      </c>
      <c r="AQ3" s="278" t="s">
        <v>40</v>
      </c>
      <c r="AR3" s="284">
        <f>AK5</f>
        <v>46.73536897115774</v>
      </c>
      <c r="AS3" s="284">
        <f>AL5</f>
        <v>44.506625638844454</v>
      </c>
      <c r="AT3" s="284">
        <f>AM5</f>
        <v>43.42472213455275</v>
      </c>
      <c r="AU3" s="284">
        <f>AN5</f>
        <v>41.32654761946914</v>
      </c>
    </row>
    <row r="4" spans="3:47" ht="15" thickBot="1">
      <c r="C4" s="295" t="s">
        <v>8</v>
      </c>
      <c r="D4" s="296">
        <f>'3 Förutsättningar'!F14</f>
        <v>18303</v>
      </c>
      <c r="E4" s="280"/>
      <c r="F4" s="280"/>
      <c r="G4" s="280"/>
      <c r="H4" s="280"/>
      <c r="I4" s="310">
        <f>IF(AND(D4&gt;0,'3 Förutsättningar'!G14&lt;&gt;"ORIMLIGT VÄRDE"),D4,"")</f>
        <v>18303</v>
      </c>
      <c r="K4" s="311" t="s">
        <v>111</v>
      </c>
      <c r="L4" s="311"/>
      <c r="M4" s="282">
        <f>IF(Kod!$I$10='Back Office'!$B$1,'Back Office'!B11,IF(Kod!$I$10='Back Office'!$C$1,'Back Office'!C11,IF(Kod!$I$10='Back Office'!$D$1,'Back Office'!D11,IF(Kod!$I$10='Back Office'!$E$1,'Back Office'!E11,IF(Kod!$I$10='Back Office'!$F$1,'Back Office'!F11,IF(Kod!$I$10='Back Office'!$G$1,'Back Office'!G11,IF(Kod!$I$10='Back Office'!$H$1,'Back Office'!H11,IF(Kod!$I$10='Back Office'!$I$1,'Back Office'!I11,""))))))))</f>
        <v>0.5</v>
      </c>
      <c r="N4" s="282"/>
      <c r="O4" s="282">
        <f>IF(Kod!$E$10='Back Office'!$B$1,'Back Office'!B11,IF(Kod!$E$10='Back Office'!$C$1,'Back Office'!C11,IF(Kod!$E$10='Back Office'!$D$1,'Back Office'!D11,IF(Kod!$E$10='Back Office'!$E$1,'Back Office'!E11,IF(Kod!$E$10='Back Office'!$F$1,'Back Office'!F11,IF(Kod!$E$10='Back Office'!$G$1,'Back Office'!G11,IF(Kod!$E$10='Back Office'!$H$1,'Back Office'!H11,IF(Kod!$E$10='Back Office'!$I$1,'Back Office'!I11,""))))))))</f>
        <v>0.5</v>
      </c>
      <c r="P4" s="312">
        <f>IF(L4&lt;&gt;"",L4,M4)</f>
        <v>0.5</v>
      </c>
      <c r="R4" s="300" t="s">
        <v>9</v>
      </c>
      <c r="S4" s="301">
        <f>IF(OR(OR('3 Förutsättningar'!$I$45&lt;&gt;"",'3 Förutsättningar'!$I$46&lt;&gt;"",'3 Förutsättningar'!$I$47&lt;&gt;""),OR('3 Förutsättningar'!$F$45="",'3 Förutsättningar'!$F$46="",'3 Förutsättningar'!$F$47="")),"",'3 Förutsättningar'!F46)</f>
      </c>
      <c r="T4" s="302">
        <f>SUM(T17,T30)</f>
        <v>0.3203025000000002</v>
      </c>
      <c r="U4" s="303">
        <f>IF(S4&lt;&gt;"",S4,T4)</f>
        <v>0.3203025000000002</v>
      </c>
      <c r="V4" s="304">
        <f>AB30+AB26</f>
        <v>0.2663309096813988</v>
      </c>
      <c r="W4" s="304">
        <f>IF(S4&lt;&gt;"",U4,V4)</f>
        <v>0.2663309096813988</v>
      </c>
      <c r="Y4" s="307" t="s">
        <v>11</v>
      </c>
      <c r="Z4" s="308">
        <f>$F$56</f>
        <v>28.471333333333334</v>
      </c>
      <c r="AA4" s="308">
        <f>(Z4+$U$3*(1/12))/((1-$T$48)^(1/12))</f>
        <v>28.555161430736202</v>
      </c>
      <c r="AB4" s="308">
        <f aca="true" t="shared" si="3" ref="AB4:AG4">(AA4+$U$3*(1/12))/((1-$T$48)^(1/12))</f>
        <v>28.639202576529218</v>
      </c>
      <c r="AC4" s="308">
        <f t="shared" si="3"/>
        <v>28.72345731217304</v>
      </c>
      <c r="AD4" s="308">
        <f>(AC4+$U$3*(1/12))/((1-$T$48)^(1/12))</f>
        <v>28.807926180504435</v>
      </c>
      <c r="AE4" s="308">
        <f t="shared" si="3"/>
        <v>28.892609725739796</v>
      </c>
      <c r="AF4" s="308">
        <f t="shared" si="3"/>
        <v>28.977508493478627</v>
      </c>
      <c r="AG4" s="308">
        <f t="shared" si="3"/>
        <v>29.062623030707076</v>
      </c>
      <c r="AH4" s="277">
        <f t="shared" si="2"/>
      </c>
      <c r="AI4" s="307"/>
      <c r="AJ4" s="313" t="s">
        <v>21</v>
      </c>
      <c r="AK4" s="314"/>
      <c r="AL4" s="315">
        <f>IF(AK34-AK49&lt;0,0,(AK34-AK49)*(1-$W$11)^(($I$5-6)/12)*(1-$W$48)^(($I$5-6)/12))</f>
        <v>14.780886261454384</v>
      </c>
      <c r="AM4" s="315">
        <f>IF(AL34-AL49&lt;0,0,(AL34-AL49)*(1-$W$11)^(($I$5-6)/12)*(1-$W$48)^(($I$5-6)/12))</f>
        <v>13.921948109856963</v>
      </c>
      <c r="AN4" s="315">
        <f>IF(AM34-AM49&lt;0,0,(AM34-AM49)*(1-$W$11)^(($I$5-6)/12)*(1-$W$48)^(($I$5-6)/12))</f>
        <v>13.135663969515996</v>
      </c>
      <c r="AO4" s="294"/>
      <c r="AP4" s="278"/>
      <c r="AQ4" s="278" t="s">
        <v>38</v>
      </c>
      <c r="AR4" s="284">
        <f>AK20</f>
        <v>83.08510039316933</v>
      </c>
      <c r="AS4" s="284">
        <f>AL20</f>
        <v>80.3937458125151</v>
      </c>
      <c r="AT4" s="284">
        <f>AM20</f>
        <v>76.99884876871174</v>
      </c>
      <c r="AU4" s="284">
        <f>AN20</f>
        <v>72.72764267409535</v>
      </c>
    </row>
    <row r="5" spans="1:47" ht="15.75" thickBot="1" thickTop="1">
      <c r="A5" s="277" t="s">
        <v>297</v>
      </c>
      <c r="C5" s="317" t="s">
        <v>20</v>
      </c>
      <c r="D5" s="296">
        <f>IF('3 Förutsättningar'!F15&lt;&gt;"",'3 Förutsättningar'!F15,"")</f>
        <v>9</v>
      </c>
      <c r="E5" s="280"/>
      <c r="F5" s="280"/>
      <c r="G5" s="280"/>
      <c r="H5" s="280"/>
      <c r="I5" s="297">
        <f>IF(AND(D5&gt;0,'3 Förutsättningar'!G15&lt;&gt;"ORIMLIGT VÄRDE"),D5,"")</f>
        <v>9</v>
      </c>
      <c r="K5" s="280" t="s">
        <v>72</v>
      </c>
      <c r="L5" s="280"/>
      <c r="M5" s="282">
        <f>IF(Kod!$I$10='Back Office'!$B$1,'Back Office'!B12,IF(Kod!$I$10='Back Office'!$C$1,'Back Office'!C12,IF(Kod!$I$10='Back Office'!$D$1,'Back Office'!D12,IF(Kod!$I$10='Back Office'!$E$1,'Back Office'!E12,IF(Kod!$I$10='Back Office'!$F$1,'Back Office'!F12,IF(Kod!$I$10='Back Office'!$G$1,'Back Office'!G12,IF(Kod!$I$10='Back Office'!$H$1,'Back Office'!H12,IF(Kod!$I$10='Back Office'!$I$1,'Back Office'!I12,""))))))))</f>
        <v>7.3</v>
      </c>
      <c r="N5" s="280"/>
      <c r="O5" s="282">
        <f>IF(Kod!$E$10='Back Office'!$B$1,'Back Office'!B12,IF(Kod!$E$10='Back Office'!$C$1,'Back Office'!C12,IF(Kod!$E$10='Back Office'!$D$1,'Back Office'!D12,IF(Kod!$E$10='Back Office'!$E$1,'Back Office'!E12,IF(Kod!$E$10='Back Office'!$F$1,'Back Office'!F12,IF(Kod!$E$10='Back Office'!$G$1,'Back Office'!G12,IF(Kod!$E$10='Back Office'!$H$1,'Back Office'!H12,IF(Kod!$E$10='Back Office'!$I$1,'Back Office'!I12,""))))))))</f>
        <v>7.3</v>
      </c>
      <c r="P5" s="318">
        <f>IF(L5&lt;&gt;"",L5,M5)</f>
        <v>7.3</v>
      </c>
      <c r="R5" s="300" t="s">
        <v>10</v>
      </c>
      <c r="S5" s="280"/>
      <c r="T5" s="280"/>
      <c r="U5" s="319"/>
      <c r="W5" s="304"/>
      <c r="Y5" s="307"/>
      <c r="Z5" s="308">
        <f>Z4+$I$41</f>
        <v>44.471333333333334</v>
      </c>
      <c r="AA5" s="308">
        <f aca="true" t="shared" si="4" ref="AA5:AG5">AA4+$I$41</f>
        <v>44.555161430736206</v>
      </c>
      <c r="AB5" s="308">
        <f t="shared" si="4"/>
        <v>44.639202576529215</v>
      </c>
      <c r="AC5" s="308">
        <f t="shared" si="4"/>
        <v>44.72345731217304</v>
      </c>
      <c r="AD5" s="308">
        <f t="shared" si="4"/>
        <v>44.80792618050444</v>
      </c>
      <c r="AE5" s="308">
        <f t="shared" si="4"/>
        <v>44.892609725739796</v>
      </c>
      <c r="AF5" s="308">
        <f t="shared" si="4"/>
        <v>44.977508493478624</v>
      </c>
      <c r="AG5" s="308">
        <f t="shared" si="4"/>
        <v>45.06262303070707</v>
      </c>
      <c r="AH5" s="277">
        <f t="shared" si="2"/>
      </c>
      <c r="AI5" s="307"/>
      <c r="AJ5" s="320" t="s">
        <v>13</v>
      </c>
      <c r="AK5" s="321">
        <f>I24</f>
        <v>46.73536897115774</v>
      </c>
      <c r="AL5" s="322">
        <f>SUM(AL3:AL4)</f>
        <v>44.506625638844454</v>
      </c>
      <c r="AM5" s="322">
        <f>SUM(AM3:AM4)</f>
        <v>43.42472213455275</v>
      </c>
      <c r="AN5" s="322">
        <f>SUM(AN3:AN4)</f>
        <v>41.32654761946914</v>
      </c>
      <c r="AO5" s="294"/>
      <c r="AP5" s="278"/>
      <c r="AQ5" s="323" t="s">
        <v>39</v>
      </c>
      <c r="AR5" s="324">
        <f>AK35</f>
        <v>57.32871927128684</v>
      </c>
      <c r="AS5" s="324">
        <f>AL35</f>
        <v>55.47168461063542</v>
      </c>
      <c r="AT5" s="324">
        <f>AM35</f>
        <v>53.30922782477126</v>
      </c>
      <c r="AU5" s="324">
        <f>AN35</f>
        <v>50.362859786041575</v>
      </c>
    </row>
    <row r="6" spans="1:47" ht="15" thickTop="1">
      <c r="A6" s="316" t="str">
        <f>IF(AND(A2="ja",I3&lt;&gt;"",I4&lt;&gt;"",I5&lt;&gt;"",I10&lt;&gt;"",I11&lt;&gt;"",I17&lt;&gt;"",I18&lt;&gt;"",I41&lt;&gt;"",I42&lt;&gt;"",I43&lt;&gt;"",I49&lt;&gt;"",I54&lt;&gt;"",P3&lt;&gt;""),"ja","nej")</f>
        <v>ja</v>
      </c>
      <c r="C6" s="280"/>
      <c r="D6" s="280" t="str">
        <f>IF(D5=10,"okt","sep")</f>
        <v>sep</v>
      </c>
      <c r="E6" s="280"/>
      <c r="F6" s="280"/>
      <c r="G6" s="280"/>
      <c r="H6" s="280"/>
      <c r="I6" s="280" t="str">
        <f>IF(I5=10,"okt","sep")</f>
        <v>sep</v>
      </c>
      <c r="K6" s="280" t="s">
        <v>73</v>
      </c>
      <c r="L6" s="280"/>
      <c r="M6" s="282">
        <f>IF(Kod!$I$10='Back Office'!$B$1,'Back Office'!B13,IF(Kod!$I$10='Back Office'!$C$1,'Back Office'!C13,IF(Kod!$I$10='Back Office'!$D$1,'Back Office'!D13,IF(Kod!$I$10='Back Office'!$E$1,'Back Office'!E13,IF(Kod!$I$10='Back Office'!$F$1,'Back Office'!F13,IF(Kod!$I$10='Back Office'!$G$1,'Back Office'!G13,IF(Kod!$I$10='Back Office'!$H$1,'Back Office'!H13,IF(Kod!$I$10='Back Office'!$I$1,'Back Office'!I13,""))))))))</f>
        <v>0.9315068493150684</v>
      </c>
      <c r="N6" s="280"/>
      <c r="O6" s="282">
        <f>IF(Kod!$E$10='Back Office'!$B$1,'Back Office'!B13,IF(Kod!$E$10='Back Office'!$C$1,'Back Office'!C13,IF(Kod!$E$10='Back Office'!$D$1,'Back Office'!D13,IF(Kod!$E$10='Back Office'!$E$1,'Back Office'!E13,IF(Kod!$E$10='Back Office'!$F$1,'Back Office'!F13,IF(Kod!$E$10='Back Office'!$G$1,'Back Office'!G13,IF(Kod!$E$10='Back Office'!$H$1,'Back Office'!H13,IF(Kod!$E$10='Back Office'!$I$1,'Back Office'!I13,""))))))))</f>
        <v>0.9315068493150684</v>
      </c>
      <c r="P6" s="312">
        <f>IF(L6&lt;&gt;"",L6,M6)</f>
        <v>0.9315068493150684</v>
      </c>
      <c r="R6" s="300" t="s">
        <v>186</v>
      </c>
      <c r="S6" s="301">
        <f>IF(OR(OR('3 Förutsättningar'!$I$45&lt;&gt;"",'3 Förutsättningar'!$I$46&lt;&gt;"",'3 Förutsättningar'!$I$47&lt;&gt;""),OR('3 Förutsättningar'!$F$45="",'3 Förutsättningar'!$F$46="",'3 Förutsättningar'!$F$47="")),"",'3 Förutsättningar'!F47)</f>
      </c>
      <c r="T6" s="302">
        <f>SUM(T19,T32)</f>
        <v>0.3111510000000003</v>
      </c>
      <c r="U6" s="303">
        <f>IF(S6&lt;&gt;"",S6,T6)</f>
        <v>0.3111510000000003</v>
      </c>
      <c r="V6" s="304">
        <f>AB36+AB33</f>
        <v>0.16460879381107366</v>
      </c>
      <c r="W6" s="304">
        <f>IF(S6&lt;&gt;"",U6,V6)</f>
        <v>0.16460879381107366</v>
      </c>
      <c r="Y6" s="325" t="s">
        <v>9</v>
      </c>
      <c r="Z6" s="326">
        <f>$F$59</f>
        <v>66.43311111111112</v>
      </c>
      <c r="AA6" s="326">
        <f aca="true" t="shared" si="5" ref="AA6:AG6">(Z6+$U$4*(1/12))/((1-$T$49)^(1/12))</f>
        <v>66.62871000505115</v>
      </c>
      <c r="AB6" s="326">
        <f t="shared" si="5"/>
        <v>66.82480601190152</v>
      </c>
      <c r="AC6" s="326">
        <f t="shared" si="5"/>
        <v>67.02140039507043</v>
      </c>
      <c r="AD6" s="326">
        <f>(AC6+$U$4*(1/12))/((1-$T$49)^(1/12))</f>
        <v>67.21849442117703</v>
      </c>
      <c r="AE6" s="326">
        <f t="shared" si="5"/>
        <v>67.41608936005953</v>
      </c>
      <c r="AF6" s="326">
        <f t="shared" si="5"/>
        <v>67.61418648478347</v>
      </c>
      <c r="AG6" s="326">
        <f t="shared" si="5"/>
        <v>67.81278707164986</v>
      </c>
      <c r="AH6" s="277">
        <f t="shared" si="2"/>
      </c>
      <c r="AI6" s="307" t="s">
        <v>185</v>
      </c>
      <c r="AJ6" s="327" t="s">
        <v>21</v>
      </c>
      <c r="AK6" s="328"/>
      <c r="AL6" s="329">
        <f>AL4/AL5</f>
        <v>0.332105300037708</v>
      </c>
      <c r="AM6" s="329">
        <f>AM4/AM5</f>
        <v>0.3205995899460083</v>
      </c>
      <c r="AN6" s="329">
        <f>AN4/AN5</f>
        <v>0.3178505035181724</v>
      </c>
      <c r="AO6" s="330"/>
      <c r="AP6" s="278"/>
      <c r="AQ6" s="277" t="s">
        <v>13</v>
      </c>
      <c r="AR6" s="331">
        <f>SUM(AR3:AR5)</f>
        <v>187.1491886356139</v>
      </c>
      <c r="AS6" s="331">
        <f>SUM(AS3:AS5)</f>
        <v>180.37205606199498</v>
      </c>
      <c r="AT6" s="331">
        <f>SUM(AT3:AT5)</f>
        <v>173.73279872803576</v>
      </c>
      <c r="AU6" s="331">
        <f>SUM(AU3:AU5)</f>
        <v>164.41705007960607</v>
      </c>
    </row>
    <row r="7" spans="1:47" ht="14.25">
      <c r="A7" s="316" t="str">
        <f>IF(AND(A6="ja",A3="ja"),"ja","nej")</f>
        <v>ja</v>
      </c>
      <c r="C7" s="295" t="s">
        <v>50</v>
      </c>
      <c r="D7" s="296">
        <f>IF('3 Förutsättningar'!F16&lt;&gt;"",'3 Förutsättningar'!F16,"")</f>
        <v>1</v>
      </c>
      <c r="E7" s="302">
        <f>D7</f>
        <v>1</v>
      </c>
      <c r="F7" s="280"/>
      <c r="G7" s="280"/>
      <c r="H7" s="280"/>
      <c r="I7" s="297">
        <f>IF(AND(D7&gt;0,'3 Förutsättningar'!G16&lt;&gt;"ORIMLIGT VÄRDE"),D7,"")</f>
        <v>1</v>
      </c>
      <c r="K7" s="280" t="s">
        <v>74</v>
      </c>
      <c r="L7" s="280"/>
      <c r="M7" s="282">
        <f>IF(Kod!$I$10='Back Office'!$B$1,'Back Office'!B14,IF(Kod!$I$10='Back Office'!$C$1,'Back Office'!C14,IF(Kod!$I$10='Back Office'!$D$1,'Back Office'!D14,IF(Kod!$I$10='Back Office'!$E$1,'Back Office'!E14,IF(Kod!$I$10='Back Office'!$F$1,'Back Office'!F14,IF(Kod!$I$10='Back Office'!$G$1,'Back Office'!G14,IF(Kod!$I$10='Back Office'!$H$1,'Back Office'!H14,IF(Kod!$I$10='Back Office'!$I$1,'Back Office'!I14,""))))))))</f>
        <v>0.04794520547945209</v>
      </c>
      <c r="N7" s="280"/>
      <c r="O7" s="282">
        <f>IF(Kod!$E$10='Back Office'!$B$1,'Back Office'!B14,IF(Kod!$E$10='Back Office'!$C$1,'Back Office'!C14,IF(Kod!$E$10='Back Office'!$D$1,'Back Office'!D14,IF(Kod!$E$10='Back Office'!$E$1,'Back Office'!E14,IF(Kod!$E$10='Back Office'!$F$1,'Back Office'!F14,IF(Kod!$E$10='Back Office'!$G$1,'Back Office'!G14,IF(Kod!$E$10='Back Office'!$H$1,'Back Office'!H14,IF(Kod!$E$10='Back Office'!$I$1,'Back Office'!I14,""))))))))</f>
        <v>0.04794520547945209</v>
      </c>
      <c r="P7" s="312">
        <f>IF(L7&lt;&gt;"",L7,M7)</f>
        <v>0.04794520547945209</v>
      </c>
      <c r="R7" s="300" t="s">
        <v>167</v>
      </c>
      <c r="S7" s="332">
        <f>IF(AND($S$3&lt;&gt;"",$S$4&lt;&gt;"",$S$6&lt;&gt;""),S3/$I$24,"")</f>
      </c>
      <c r="T7" s="332">
        <f>T3/I$24</f>
        <v>0.002937229405093955</v>
      </c>
      <c r="U7" s="333">
        <f>IF(S7&lt;&gt;"",S7,T7)</f>
        <v>0.002937229405093955</v>
      </c>
      <c r="V7" s="332">
        <f>V3/$I$24</f>
        <v>0.0019316597152407267</v>
      </c>
      <c r="W7" s="333">
        <f>IF(S7&lt;&gt;"",U7,V7)</f>
        <v>0.0019316597152407267</v>
      </c>
      <c r="Y7" s="325"/>
      <c r="Z7" s="326">
        <f aca="true" t="shared" si="6" ref="Z7:AG7">Z6+$I$42</f>
        <v>80.43311111111112</v>
      </c>
      <c r="AA7" s="326">
        <f t="shared" si="6"/>
        <v>80.62871000505115</v>
      </c>
      <c r="AB7" s="326">
        <f t="shared" si="6"/>
        <v>80.82480601190152</v>
      </c>
      <c r="AC7" s="326">
        <f t="shared" si="6"/>
        <v>81.02140039507043</v>
      </c>
      <c r="AD7" s="326">
        <f t="shared" si="6"/>
        <v>81.21849442117703</v>
      </c>
      <c r="AE7" s="326">
        <f t="shared" si="6"/>
        <v>81.41608936005953</v>
      </c>
      <c r="AF7" s="326">
        <f t="shared" si="6"/>
        <v>81.61418648478347</v>
      </c>
      <c r="AG7" s="326">
        <f t="shared" si="6"/>
        <v>81.81278707164986</v>
      </c>
      <c r="AH7" s="277">
        <f t="shared" si="2"/>
      </c>
      <c r="AI7" s="307" t="s">
        <v>23</v>
      </c>
      <c r="AJ7" s="307" t="s">
        <v>24</v>
      </c>
      <c r="AK7" s="308">
        <f>$I$41</f>
        <v>16</v>
      </c>
      <c r="AL7" s="308">
        <f>'4 Avskjutning&amp;Prognos'!F19</f>
        <v>14.001795</v>
      </c>
      <c r="AM7" s="308">
        <f>'4 Avskjutning&amp;Prognos'!G19</f>
        <v>14.27634</v>
      </c>
      <c r="AN7" s="308">
        <f>'4 Avskjutning&amp;Prognos'!H19</f>
        <v>14.27634</v>
      </c>
      <c r="AO7" s="285"/>
      <c r="AP7" s="278" t="s">
        <v>14</v>
      </c>
      <c r="AQ7" s="278" t="s">
        <v>172</v>
      </c>
      <c r="AR7" s="334">
        <f>IF((AK5+AK20)&lt;=0,"",AR3/(AR3+AR4))</f>
        <v>0.36</v>
      </c>
      <c r="AS7" s="334">
        <f>IF((AL5+AL20)&lt;=0,"",AS3/(AS3+AS4))</f>
        <v>0.3563370158284665</v>
      </c>
      <c r="AT7" s="334">
        <f>IF((AM5+AM20)&lt;=0,"",AT3/(AT3+AT4))</f>
        <v>0.36059985440421427</v>
      </c>
      <c r="AU7" s="334">
        <f>IF((AN5+AN20)&lt;=0,"",AU3/(AU3+AU4))</f>
        <v>0.36234133540467556</v>
      </c>
    </row>
    <row r="8" spans="3:40" ht="14.25">
      <c r="C8" s="280" t="s">
        <v>190</v>
      </c>
      <c r="D8" s="296">
        <f>IF($L$3&gt;0,1,0)</f>
        <v>1</v>
      </c>
      <c r="E8" s="296">
        <f>IF($N$3&gt;0,1,0)</f>
        <v>1</v>
      </c>
      <c r="F8" s="280"/>
      <c r="G8" s="280"/>
      <c r="H8" s="280"/>
      <c r="I8" s="297">
        <f>IF(AND(D8&gt;=0,'3 Förutsättningar'!G19&lt;&gt;"ORIMLIGT VÄRDE"),D8,"")</f>
        <v>1</v>
      </c>
      <c r="K8" s="280" t="s">
        <v>75</v>
      </c>
      <c r="L8" s="280"/>
      <c r="M8" s="282">
        <f>IF(Kod!$I$10='Back Office'!$B$1,'Back Office'!B15,IF(Kod!$I$10='Back Office'!$C$1,'Back Office'!C15,IF(Kod!$I$10='Back Office'!$D$1,'Back Office'!D15,IF(Kod!$I$10='Back Office'!$E$1,'Back Office'!E15,IF(Kod!$I$10='Back Office'!$F$1,'Back Office'!F15,IF(Kod!$I$10='Back Office'!$G$1,'Back Office'!G15,IF(Kod!$I$10='Back Office'!$H$1,'Back Office'!H15,IF(Kod!$I$10='Back Office'!$I$1,'Back Office'!I15,""))))))))</f>
        <v>0.95</v>
      </c>
      <c r="N8" s="280"/>
      <c r="O8" s="282">
        <f>IF(Kod!$E$10='Back Office'!$B$1,'Back Office'!B15,IF(Kod!$E$10='Back Office'!$C$1,'Back Office'!C15,IF(Kod!$E$10='Back Office'!$D$1,'Back Office'!D15,IF(Kod!$E$10='Back Office'!$E$1,'Back Office'!E15,IF(Kod!$E$10='Back Office'!$F$1,'Back Office'!F15,IF(Kod!$E$10='Back Office'!$G$1,'Back Office'!G15,IF(Kod!$E$10='Back Office'!$H$1,'Back Office'!H15,IF(Kod!$E$10='Back Office'!$I$1,'Back Office'!I15,""))))))))</f>
        <v>0.95</v>
      </c>
      <c r="P8" s="312">
        <f>IF(L8&lt;&gt;"",L8,M8)</f>
        <v>0.95</v>
      </c>
      <c r="R8" s="300" t="s">
        <v>168</v>
      </c>
      <c r="S8" s="332">
        <f>IF(AND($S$3&lt;&gt;"",$S$4&lt;&gt;"",$S$6&lt;&gt;""),S4/$I$27,"")</f>
      </c>
      <c r="T8" s="332">
        <f>T4/I$27</f>
        <v>0.003855113594185814</v>
      </c>
      <c r="U8" s="333">
        <f>IF(S8&lt;&gt;"",S8,T8)</f>
        <v>0.003855113594185814</v>
      </c>
      <c r="V8" s="332">
        <f>V4/$I$27</f>
        <v>0.0032055195025472295</v>
      </c>
      <c r="W8" s="333">
        <f>IF(S8&lt;&gt;"",U8,V8)</f>
        <v>0.0032055195025472295</v>
      </c>
      <c r="Y8" s="336" t="s">
        <v>10</v>
      </c>
      <c r="Z8" s="337">
        <f>$F$62</f>
        <v>33.21655555555556</v>
      </c>
      <c r="AA8" s="337">
        <f>(Z8+$U$6*(1/(IF($D$5=10,8,9))))/((1-$T$50)^(1/(IF($D$5=10,8,9))))</f>
        <v>33.4411755942442</v>
      </c>
      <c r="AB8" s="337">
        <f aca="true" t="shared" si="7" ref="AB8:AG8">(AA8+$U$6*(1/(IF($D$5=10,8,9))))/((1-$T$50)^(1/(IF($D$5=10,8,9))))</f>
        <v>33.66707945473498</v>
      </c>
      <c r="AC8" s="337">
        <f>(AB8+$U$6*(1/(IF($D$5=10,8,9))))/((1-$T$50)^(1/(IF($D$5=10,8,9))))</f>
        <v>33.894274474745544</v>
      </c>
      <c r="AD8" s="337">
        <f t="shared" si="7"/>
        <v>34.122768033932445</v>
      </c>
      <c r="AE8" s="337">
        <f t="shared" si="7"/>
        <v>34.352567554130864</v>
      </c>
      <c r="AF8" s="337">
        <f t="shared" si="7"/>
        <v>34.58368049959569</v>
      </c>
      <c r="AG8" s="337">
        <f t="shared" si="7"/>
        <v>34.81611437724393</v>
      </c>
      <c r="AH8" s="277">
        <f t="shared" si="2"/>
      </c>
      <c r="AI8" s="307"/>
      <c r="AJ8" s="307" t="s">
        <v>64</v>
      </c>
      <c r="AK8" s="308">
        <f>IF(SUM($S$3:$S$6)&gt;0,$W$3,AB23+AB19)</f>
        <v>0.09027682951849686</v>
      </c>
      <c r="AL8" s="308">
        <f>IF(SUM($S$3:$S$6)&gt;0,$S$3,AC23+AC19)</f>
        <v>0.08959968554982495</v>
      </c>
      <c r="AM8" s="308">
        <f>IF(SUM($S$3:$S$6)&gt;0,$S$3,AD23+AD19)</f>
        <v>0.08561548511652364</v>
      </c>
      <c r="AN8" s="308">
        <f>IF(SUM($S$3:$S$6)&gt;0,$S$3,AE23+AE19)</f>
        <v>0.0794526652338013</v>
      </c>
    </row>
    <row r="9" spans="3:47" ht="14.25">
      <c r="C9" s="280" t="s">
        <v>191</v>
      </c>
      <c r="D9" s="296">
        <f>IF($D$11&gt;0,1,0)</f>
        <v>0</v>
      </c>
      <c r="E9" s="296">
        <f>IF($E$11&gt;0,1,0)</f>
        <v>0</v>
      </c>
      <c r="F9" s="280"/>
      <c r="G9" s="280"/>
      <c r="H9" s="280"/>
      <c r="I9" s="297">
        <f>IF(AND(D9&gt;=0,'3 Förutsättningar'!G20&lt;&gt;"ORIMLIGT VÄRDE"),D9,"")</f>
        <v>0</v>
      </c>
      <c r="K9" s="279" t="s">
        <v>222</v>
      </c>
      <c r="L9" s="338"/>
      <c r="M9" s="280"/>
      <c r="N9" s="280"/>
      <c r="O9" s="282">
        <f>IF(Kod!$E$10='Back Office'!$B$1,'Back Office'!B16,IF(Kod!$E$10='Back Office'!$C$1,'Back Office'!C16,IF(Kod!$E$10='Back Office'!$D$1,'Back Office'!D16,IF(Kod!$E$10='Back Office'!$E$1,'Back Office'!E16,IF(Kod!$E$10='Back Office'!$F$1,'Back Office'!F16,IF(Kod!$E$10='Back Office'!$G$1,'Back Office'!G16,IF(Kod!$E$10='Back Office'!$H$1,'Back Office'!H16,IF(Kod!$E$10='Back Office'!$I$1,'Back Office'!I16,""))))))))</f>
        <v>110</v>
      </c>
      <c r="P9" s="280"/>
      <c r="R9" s="300" t="s">
        <v>169</v>
      </c>
      <c r="S9" s="332"/>
      <c r="T9" s="332"/>
      <c r="U9" s="333"/>
      <c r="V9" s="332"/>
      <c r="W9" s="333"/>
      <c r="Y9" s="336"/>
      <c r="Z9" s="337">
        <f aca="true" t="shared" si="8" ref="Z9:AG9">Z8+$I$43</f>
        <v>60.21655555555556</v>
      </c>
      <c r="AA9" s="337">
        <f t="shared" si="8"/>
        <v>60.4411755942442</v>
      </c>
      <c r="AB9" s="337">
        <f t="shared" si="8"/>
        <v>60.66707945473498</v>
      </c>
      <c r="AC9" s="337">
        <f>AC8+$I$43</f>
        <v>60.894274474745544</v>
      </c>
      <c r="AD9" s="337">
        <f t="shared" si="8"/>
        <v>61.122768033932445</v>
      </c>
      <c r="AE9" s="337">
        <f t="shared" si="8"/>
        <v>61.352567554130864</v>
      </c>
      <c r="AF9" s="337">
        <f t="shared" si="8"/>
        <v>61.58368049959569</v>
      </c>
      <c r="AG9" s="337">
        <f t="shared" si="8"/>
        <v>61.81611437724393</v>
      </c>
      <c r="AH9" s="277">
        <f>IF(AY16=4,"apr",IF(AY16=3,"mar",IF(AY16=2,"feb",IF(AY16=1,"jan",IF(AY16=12,"dec",IF(AY16=11,"nov",IF(AY16=10,"okt",IF(AY16=9,"sep",""))))))))</f>
      </c>
      <c r="AI9" s="307"/>
      <c r="AJ9" s="339" t="s">
        <v>25</v>
      </c>
      <c r="AK9" s="340">
        <f>IF(AND($S$42&lt;&gt;"",$S$43&lt;&gt;"",$S$44&lt;&gt;""),$W$42,$I$24*W48*(1-($I$44+($W$11))))</f>
        <v>0.9193527642491773</v>
      </c>
      <c r="AL9" s="340">
        <f>AL5*($W$48*(1-(AL13+AL14)))</f>
        <v>0.9124569285988389</v>
      </c>
      <c r="AM9" s="340">
        <f>AM5*($W$48*(1-(AM13+AM14)))</f>
        <v>0.8718829994830868</v>
      </c>
      <c r="AN9" s="340">
        <f>AN5*($W$48*(1-(AN13+AN14)))</f>
        <v>0.8091226486270601</v>
      </c>
      <c r="AP9" s="283" t="s">
        <v>184</v>
      </c>
      <c r="AQ9" s="278"/>
      <c r="AR9" s="284"/>
      <c r="AS9" s="278"/>
      <c r="AT9" s="278"/>
      <c r="AU9" s="278"/>
    </row>
    <row r="10" spans="1:47" ht="14.25">
      <c r="A10" s="277" t="s">
        <v>239</v>
      </c>
      <c r="C10" s="280" t="s">
        <v>122</v>
      </c>
      <c r="D10" s="342">
        <f>D7*100+D8*10+D9</f>
        <v>110</v>
      </c>
      <c r="E10" s="342">
        <f>E7*100+E8*10+E9</f>
        <v>110</v>
      </c>
      <c r="F10" s="280"/>
      <c r="G10" s="280"/>
      <c r="H10" s="280"/>
      <c r="I10" s="304">
        <f>IF(OR('3 Förutsättningar'!$G$16&lt;&gt;"",'3 Förutsättningar'!$G$19&lt;&gt;"",'3 Förutsättningar'!$G$20&lt;&gt;""),"",I7*100+I8*10+I9)</f>
        <v>110</v>
      </c>
      <c r="K10" s="280"/>
      <c r="L10" s="287" t="s">
        <v>127</v>
      </c>
      <c r="M10" s="288" t="s">
        <v>161</v>
      </c>
      <c r="N10" s="280"/>
      <c r="O10" s="282">
        <f>IF(Kod!$E$10='Back Office'!$B$1,'Back Office'!B17,IF(Kod!$E$10='Back Office'!$C$1,'Back Office'!C17,IF(Kod!$E$10='Back Office'!$D$1,'Back Office'!D17,IF(Kod!$E$10='Back Office'!$E$1,'Back Office'!E17,IF(Kod!$E$10='Back Office'!$F$1,'Back Office'!F17,IF(Kod!$E$10='Back Office'!$G$1,'Back Office'!G17,IF(Kod!$E$10='Back Office'!$H$1,'Back Office'!H17,IF(Kod!$E$10='Back Office'!$I$1,'Back Office'!I17,""))))))))</f>
        <v>61</v>
      </c>
      <c r="P10" s="289" t="s">
        <v>197</v>
      </c>
      <c r="R10" s="300" t="s">
        <v>187</v>
      </c>
      <c r="S10" s="332">
        <f>IF(AND($S$3&lt;&gt;"",$S$4&lt;&gt;"",$S$6&lt;&gt;""),S6/$I$30,"")</f>
      </c>
      <c r="T10" s="332">
        <f>IF(T6&gt;0,T6/I$30,0)</f>
        <v>0.0054274891181083935</v>
      </c>
      <c r="U10" s="333">
        <f>IF(S10&lt;&gt;"",S10,T10)</f>
        <v>0.0054274891181083935</v>
      </c>
      <c r="V10" s="332">
        <f>V6/$I$30</f>
        <v>0.002871314690148994</v>
      </c>
      <c r="W10" s="333">
        <f>IF(S10&lt;&gt;"",U10,V10)</f>
        <v>0.002871314690148994</v>
      </c>
      <c r="AK10" s="343">
        <f>AK5*$T$48*(1-(AK13+AK14)^2/((AK13+AK14)+$T$48))</f>
        <v>0.9580432198045872</v>
      </c>
      <c r="AL10" s="343">
        <f>AL5*$T$48*(1-(AL13+AL14)^2/((AL13+AL14)+$T$48))</f>
        <v>0.9490459776883868</v>
      </c>
      <c r="AM10" s="343">
        <f>AM5*$T$48*(1-(AM13+AM14)^2/((AM13+AM14)+$T$48))</f>
        <v>0.9077150062100952</v>
      </c>
      <c r="AN10" s="343">
        <f>AN5*$T$48*(1-(AN13+AN14)^2/((AN13+AN14)+$T$48))</f>
        <v>0.8433597531739584</v>
      </c>
      <c r="AP10" s="292"/>
      <c r="AQ10" s="292"/>
      <c r="AR10" s="305">
        <f>AK2</f>
        <v>2022</v>
      </c>
      <c r="AS10" s="305">
        <f>AL2</f>
        <v>2023</v>
      </c>
      <c r="AT10" s="305">
        <f>AM2</f>
        <v>2024</v>
      </c>
      <c r="AU10" s="305">
        <f>AN2</f>
        <v>2025</v>
      </c>
    </row>
    <row r="11" spans="1:47" ht="15" thickBot="1">
      <c r="A11" s="335"/>
      <c r="C11" s="295" t="s">
        <v>134</v>
      </c>
      <c r="D11" s="344">
        <f>IF('3 Förutsättningar'!F20&lt;&gt;"",'3 Förutsättningar'!F20,"")</f>
        <v>0</v>
      </c>
      <c r="E11" s="344">
        <f>IF('Bilaga I Beräkn.stöd predation'!E39&lt;&gt;"",'Bilaga I Beräkn.stöd predation'!E39,"")</f>
        <v>0</v>
      </c>
      <c r="F11" s="446"/>
      <c r="G11" s="280"/>
      <c r="H11" s="280"/>
      <c r="I11" s="345">
        <f>IF(AND(D11&gt;=0,'3 Förutsättningar'!G20&lt;&gt;"ORIMLIGT VÄRDE"),D11,"")</f>
        <v>0</v>
      </c>
      <c r="K11" s="280" t="s">
        <v>112</v>
      </c>
      <c r="L11" s="280"/>
      <c r="M11" s="282">
        <f>IF(Kod!$I$10='Back Office'!$B$1,'Back Office'!B17,IF(Kod!$I$10='Back Office'!$C$1,'Back Office'!C17,IF(Kod!$I$10='Back Office'!$D$1,'Back Office'!D17,IF(Kod!$I$10='Back Office'!$E$1,'Back Office'!E17,IF(Kod!$I$10='Back Office'!$F$1,'Back Office'!F17,IF(Kod!$I$10='Back Office'!$G$1,'Back Office'!G17,IF(Kod!$I$10='Back Office'!$H$1,'Back Office'!H17,IF(Kod!$I$10='Back Office'!$I$1,'Back Office'!I17,""))))))))</f>
        <v>61</v>
      </c>
      <c r="N11" s="280"/>
      <c r="O11" s="282">
        <f>IF(Kod!$E$10='Back Office'!$B$1,'Back Office'!B18,IF(Kod!$E$10='Back Office'!$C$1,'Back Office'!C18,IF(Kod!$E$10='Back Office'!$D$1,'Back Office'!D18,IF(Kod!$E$10='Back Office'!$E$1,'Back Office'!E18,IF(Kod!$E$10='Back Office'!$F$1,'Back Office'!F18,IF(Kod!$E$10='Back Office'!$G$1,'Back Office'!G18,IF(Kod!$E$10='Back Office'!$H$1,'Back Office'!H18,IF(Kod!$E$10='Back Office'!$I$1,'Back Office'!I18,""))))))))</f>
        <v>0.9</v>
      </c>
      <c r="P11" s="318">
        <f>IF(L11&lt;&gt;"",L11,M11)</f>
        <v>61</v>
      </c>
      <c r="R11" s="300" t="s">
        <v>93</v>
      </c>
      <c r="S11" s="333">
        <f>S7</f>
      </c>
      <c r="T11" s="333">
        <f>1-((1-T24)*(1-T36))</f>
        <v>0.0054274891181084195</v>
      </c>
      <c r="U11" s="333">
        <f>IF(S11&lt;&gt;"",S11,T11)</f>
        <v>0.0054274891181084195</v>
      </c>
      <c r="V11" s="333">
        <f>V7</f>
        <v>0.0019316597152407267</v>
      </c>
      <c r="W11" s="333">
        <f>IF(S11&lt;&gt;"",U11,V11)</f>
        <v>0.0019316597152407267</v>
      </c>
      <c r="Y11" s="283" t="s">
        <v>180</v>
      </c>
      <c r="AB11" s="284"/>
      <c r="AJ11" s="323"/>
      <c r="AK11" s="346">
        <f>(AK5-AK12)*$T$48*(1-(AK14)^2/((AK14)+$T$48))</f>
        <v>0.8916679750942894</v>
      </c>
      <c r="AL11" s="346">
        <f>(AL5-AL12)*$T$48*(1-(AL14)^2/((AL14)+$T$48))</f>
        <v>0.8849711689055036</v>
      </c>
      <c r="AM11" s="346">
        <f>(AM5-AM12)*$T$48*(1-(AM14)^2/((AM14)+$T$48))</f>
        <v>0.8456236850620364</v>
      </c>
      <c r="AN11" s="346">
        <f>(AN5-AN12)*$T$48*(1-(AN14)^2/((AN14)+$T$48))</f>
        <v>0.7847580936079076</v>
      </c>
      <c r="AP11" s="278" t="s">
        <v>34</v>
      </c>
      <c r="AQ11" s="278" t="s">
        <v>40</v>
      </c>
      <c r="AR11" s="347">
        <f>AK13</f>
        <v>0.34235313323136995</v>
      </c>
      <c r="AS11" s="347">
        <f>AL13</f>
        <v>0.31460023758304256</v>
      </c>
      <c r="AT11" s="347">
        <f>AM13</f>
        <v>0.32876065287797</v>
      </c>
      <c r="AU11" s="347">
        <f>AN13</f>
        <v>0.3454520356129227</v>
      </c>
    </row>
    <row r="12" spans="3:47" ht="15" thickTop="1">
      <c r="C12" s="279" t="s">
        <v>164</v>
      </c>
      <c r="D12" s="280"/>
      <c r="E12" s="280"/>
      <c r="F12" s="280"/>
      <c r="G12" s="280"/>
      <c r="H12" s="280"/>
      <c r="I12" s="280"/>
      <c r="K12" s="338" t="s">
        <v>220</v>
      </c>
      <c r="L12" s="348"/>
      <c r="M12" s="282">
        <f>IF(Kod!$I$10='Back Office'!$B$1,'Back Office'!B18,IF(Kod!$I$10='Back Office'!$C$1,'Back Office'!C18,IF(Kod!$I$10='Back Office'!$D$1,'Back Office'!D18,IF(Kod!$I$10='Back Office'!$E$1,'Back Office'!E18,IF(Kod!$I$10='Back Office'!$F$1,'Back Office'!F18,IF(Kod!$I$10='Back Office'!$G$1,'Back Office'!G18,IF(Kod!$I$10='Back Office'!$H$1,'Back Office'!H18,IF(Kod!$I$10='Back Office'!$I$1,'Back Office'!I18,""))))))))</f>
        <v>0.9</v>
      </c>
      <c r="N12" s="349"/>
      <c r="O12" s="282">
        <f>IF(Kod!$E$10='Back Office'!$B$1,'Back Office'!B19,IF(Kod!$E$10='Back Office'!$C$1,'Back Office'!C19,IF(Kod!$E$10='Back Office'!$D$1,'Back Office'!D19,IF(Kod!$E$10='Back Office'!$E$1,'Back Office'!E19,IF(Kod!$E$10='Back Office'!$F$1,'Back Office'!F19,IF(Kod!$E$10='Back Office'!$G$1,'Back Office'!G19,IF(Kod!$E$10='Back Office'!$H$1,'Back Office'!H19,IF(Kod!$E$10='Back Office'!$I$1,'Back Office'!I19,""))))))))</f>
        <v>0.1</v>
      </c>
      <c r="P12" s="345">
        <f aca="true" t="shared" si="9" ref="P12:P17">IF(L12&lt;&gt;"",L12,M12)</f>
        <v>0.9</v>
      </c>
      <c r="R12" s="300" t="s">
        <v>94</v>
      </c>
      <c r="S12" s="333">
        <f>S8</f>
      </c>
      <c r="T12" s="333">
        <f>1-((1-T25)*(1-T38))</f>
        <v>0.0038551135941857773</v>
      </c>
      <c r="U12" s="333">
        <f>IF(S12&lt;&gt;"",S12,T12)</f>
        <v>0.0038551135941857773</v>
      </c>
      <c r="V12" s="333">
        <f>V8</f>
        <v>0.0032055195025472295</v>
      </c>
      <c r="W12" s="333">
        <f>IF(S12&lt;&gt;"",U12,V12)</f>
        <v>0.0032055195025472295</v>
      </c>
      <c r="Y12" s="292"/>
      <c r="Z12" s="292"/>
      <c r="AA12" s="293"/>
      <c r="AB12" s="293">
        <f>AK2</f>
        <v>2022</v>
      </c>
      <c r="AC12" s="293">
        <f>AL2</f>
        <v>2023</v>
      </c>
      <c r="AD12" s="293">
        <f>AM2</f>
        <v>2024</v>
      </c>
      <c r="AE12" s="293">
        <f>AN2</f>
        <v>2025</v>
      </c>
      <c r="AI12" s="307"/>
      <c r="AJ12" s="307" t="s">
        <v>13</v>
      </c>
      <c r="AK12" s="308">
        <f>SUM(AK7:AK9)</f>
        <v>17.009629593767674</v>
      </c>
      <c r="AL12" s="308">
        <f>SUM(AL7:AL9)</f>
        <v>15.003851614148664</v>
      </c>
      <c r="AM12" s="308">
        <f>SUM(AM7:AM9)</f>
        <v>15.233838484599609</v>
      </c>
      <c r="AN12" s="308">
        <f>SUM(AN7:AN9)</f>
        <v>15.164915313860861</v>
      </c>
      <c r="AP12" s="278"/>
      <c r="AQ12" s="278" t="s">
        <v>38</v>
      </c>
      <c r="AR12" s="347">
        <f>AK28</f>
        <v>0.1685019327623149</v>
      </c>
      <c r="AS12" s="347">
        <f>AL28</f>
        <v>0.17416522713910293</v>
      </c>
      <c r="AT12" s="347">
        <f>AM28</f>
        <v>0.1854097850590352</v>
      </c>
      <c r="AU12" s="347">
        <f>AN28</f>
        <v>0.19629867647401486</v>
      </c>
    </row>
    <row r="13" spans="1:47" ht="15" thickBot="1">
      <c r="A13" s="341" t="s">
        <v>139</v>
      </c>
      <c r="C13" s="280"/>
      <c r="D13" s="287" t="s">
        <v>127</v>
      </c>
      <c r="E13" s="350">
        <f>AK2+0.5</f>
        <v>2022.5</v>
      </c>
      <c r="F13" s="350">
        <f>AN2+1.5</f>
        <v>2026.5</v>
      </c>
      <c r="G13" s="350"/>
      <c r="H13" s="288"/>
      <c r="I13" s="289" t="s">
        <v>197</v>
      </c>
      <c r="K13" s="338" t="s">
        <v>217</v>
      </c>
      <c r="L13" s="348"/>
      <c r="M13" s="282">
        <f>IF(Kod!$I$10='Back Office'!$B$1,'Back Office'!B19,IF(Kod!$I$10='Back Office'!$C$1,'Back Office'!C19,IF(Kod!$I$10='Back Office'!$D$1,'Back Office'!D19,IF(Kod!$I$10='Back Office'!$E$1,'Back Office'!E19,IF(Kod!$I$10='Back Office'!$F$1,'Back Office'!F19,IF(Kod!$I$10='Back Office'!$G$1,'Back Office'!G19,IF(Kod!$I$10='Back Office'!$H$1,'Back Office'!H19,IF(Kod!$I$10='Back Office'!$I$1,'Back Office'!I19,""))))))))</f>
        <v>0.1</v>
      </c>
      <c r="N13" s="349"/>
      <c r="O13" s="282">
        <f>IF(Kod!$E$10='Back Office'!$B$1,'Back Office'!B20,IF(Kod!$E$10='Back Office'!$C$1,'Back Office'!C20,IF(Kod!$E$10='Back Office'!$D$1,'Back Office'!D20,IF(Kod!$E$10='Back Office'!$E$1,'Back Office'!E20,IF(Kod!$E$10='Back Office'!$F$1,'Back Office'!F20,IF(Kod!$E$10='Back Office'!$G$1,'Back Office'!G20,IF(Kod!$E$10='Back Office'!$H$1,'Back Office'!H20,IF(Kod!$E$10='Back Office'!$I$1,'Back Office'!I20,""))))))))</f>
        <v>0</v>
      </c>
      <c r="P13" s="345">
        <f t="shared" si="9"/>
        <v>0.1</v>
      </c>
      <c r="R13" s="300" t="s">
        <v>95</v>
      </c>
      <c r="S13" s="333"/>
      <c r="T13" s="333"/>
      <c r="U13" s="333"/>
      <c r="V13" s="333"/>
      <c r="W13" s="333"/>
      <c r="Z13" s="278" t="s">
        <v>18</v>
      </c>
      <c r="AA13" s="278" t="s">
        <v>40</v>
      </c>
      <c r="AB13" s="351">
        <f>IF((AK$5-AK$7)&gt;0,IF($U$11&lt;&gt;"",(AK$5-AK$7)*((1-$U$11)*(1-$U$48))^((IF($I$14&lt;9,12+$I$14-$I$5,$I$14-$I$5)/12))))</f>
        <v>30.36974600165452</v>
      </c>
      <c r="AC13" s="351">
        <f>IF((AL$5-AL$7)&gt;0,IF($U$11&lt;&gt;"",(AL$5-AL$7)*((1-$U$11)*(1-$U$48))^((IF($I$14&lt;9,12+$I$14-$I$5,$I$14-$I$5)/12))))</f>
        <v>30.141950115990362</v>
      </c>
      <c r="AD13" s="351">
        <f>IF((AM$5-AM$7)&gt;0,IF($U$11&lt;&gt;"",(AM$5-AM$7)*((1-$U$11)*(1-$U$48))^((IF($I$14&lt;9,12+$I$14-$I$5,$I$14-$I$5)/12))))</f>
        <v>28.801637703332464</v>
      </c>
      <c r="AE13" s="351">
        <f>IF((AN$5-AN$7)&gt;0,IF($U$11&lt;&gt;"",(AN$5-AN$7)*((1-$U$11)*(1-$U$48))^((IF($I$14&lt;9,12+$I$14-$I$5,$I$14-$I$5)/12))))</f>
        <v>26.728422732331786</v>
      </c>
      <c r="AI13" s="307" t="s">
        <v>26</v>
      </c>
      <c r="AJ13" s="307" t="s">
        <v>24</v>
      </c>
      <c r="AK13" s="352">
        <f>IF(AK5&lt;=0,0,IF(AK7/AK5&lt;=0,0,IF(AK7/AK5&gt;1,1,AK7/AK5)))</f>
        <v>0.34235313323136995</v>
      </c>
      <c r="AL13" s="352">
        <f>IF(AL5&lt;=0,0,IF(AL7/AL5&gt;1,1,AL7/AL5))</f>
        <v>0.31460023758304256</v>
      </c>
      <c r="AM13" s="352">
        <f>IF(AM5&lt;=0,0,IF(AM7/AM5&gt;1,1,AM7/AM5))</f>
        <v>0.32876065287797</v>
      </c>
      <c r="AN13" s="352">
        <f>IF(AN5&lt;=0,0,IF(AN7/AN5&gt;1,1,AN7/AN5))</f>
        <v>0.3454520356129227</v>
      </c>
      <c r="AO13" s="294"/>
      <c r="AP13" s="278"/>
      <c r="AQ13" s="323" t="s">
        <v>39</v>
      </c>
      <c r="AR13" s="353">
        <f>AK53</f>
        <v>0.4709681350499484</v>
      </c>
      <c r="AS13" s="353">
        <f>AL53</f>
        <v>0.4850296180628613</v>
      </c>
      <c r="AT13" s="353">
        <f>AM53</f>
        <v>0.4944044600802298</v>
      </c>
      <c r="AU13" s="353">
        <f>AN53</f>
        <v>0.5233285026301235</v>
      </c>
    </row>
    <row r="14" spans="1:47" ht="15" thickTop="1">
      <c r="A14" s="278" t="s">
        <v>338</v>
      </c>
      <c r="C14" s="317" t="s">
        <v>241</v>
      </c>
      <c r="D14" s="354">
        <v>1</v>
      </c>
      <c r="E14" s="280"/>
      <c r="F14" s="280"/>
      <c r="G14" s="280"/>
      <c r="H14" s="280"/>
      <c r="I14" s="297">
        <f>IF(AND(D14&gt;0,'3 Förutsättningar'!G25&lt;&gt;"ORIMLIGT VÄRDE"),D14,"")</f>
        <v>1</v>
      </c>
      <c r="K14" s="338" t="s">
        <v>219</v>
      </c>
      <c r="L14" s="348"/>
      <c r="M14" s="282">
        <f>IF(Kod!$I$10='Back Office'!$B$1,'Back Office'!B20,IF(Kod!$I$10='Back Office'!$C$1,'Back Office'!C20,IF(Kod!$I$10='Back Office'!$D$1,'Back Office'!D20,IF(Kod!$I$10='Back Office'!$E$1,'Back Office'!E20,IF(Kod!$I$10='Back Office'!$F$1,'Back Office'!F20,IF(Kod!$I$10='Back Office'!$G$1,'Back Office'!G20,IF(Kod!$I$10='Back Office'!$H$1,'Back Office'!H20,IF(Kod!$I$10='Back Office'!$I$1,'Back Office'!I20,""))))))))</f>
        <v>0</v>
      </c>
      <c r="N14" s="349"/>
      <c r="O14" s="282">
        <f>IF(Kod!$E$10='Back Office'!$B$1,'Back Office'!B21,IF(Kod!$E$10='Back Office'!$C$1,'Back Office'!C21,IF(Kod!$E$10='Back Office'!$D$1,'Back Office'!D21,IF(Kod!$E$10='Back Office'!$E$1,'Back Office'!E21,IF(Kod!$E$10='Back Office'!$F$1,'Back Office'!F21,IF(Kod!$E$10='Back Office'!$G$1,'Back Office'!G21,IF(Kod!$E$10='Back Office'!$H$1,'Back Office'!H21,IF(Kod!$E$10='Back Office'!$I$1,'Back Office'!I21,""))))))))</f>
        <v>0</v>
      </c>
      <c r="P14" s="345">
        <f>IF(L14&lt;&gt;"",L14,M14)</f>
        <v>0</v>
      </c>
      <c r="R14" s="300" t="s">
        <v>188</v>
      </c>
      <c r="S14" s="333">
        <f>S10</f>
      </c>
      <c r="T14" s="333">
        <f>1-((1-T27)*(1-T40))</f>
        <v>0.0054274891181084195</v>
      </c>
      <c r="U14" s="333">
        <f>IF(S14&lt;&gt;"",S14,T14)</f>
        <v>0.0054274891181084195</v>
      </c>
      <c r="V14" s="333">
        <f>V10</f>
        <v>0.002871314690148994</v>
      </c>
      <c r="W14" s="333">
        <f>IF(S14&lt;&gt;"",U14,V14)</f>
        <v>0.002871314690148994</v>
      </c>
      <c r="AA14" s="278" t="s">
        <v>38</v>
      </c>
      <c r="AB14" s="351">
        <f>IF((AK$20-AK$22)&gt;0,IF($U$12&lt;&gt;"",(AK$20-AK$22)*((1-$U$12)*(1-$U$49))^(IF($I$14&lt;9,12+$I$14-$I$5,$I$14-$I$5)/12)))</f>
        <v>68.29923003930784</v>
      </c>
      <c r="AC14" s="351">
        <f>IF((AL$20-AL$22)&gt;0,IF($U$12&lt;&gt;"",(AL$20-AL$22)*((1-$U$12)*(1-$U$49))^(IF($I$14&lt;9,12+$I$14-$I$5,$I$14-$I$5)/12)))</f>
        <v>65.63671610080954</v>
      </c>
      <c r="AD14" s="351">
        <f>IF((AM$20-AM$22)&gt;0,IF($U$12&lt;&gt;"",(AM$20-AM$22)*((1-$U$12)*(1-$U$49))^(IF($I$14&lt;9,12+$I$14-$I$5,$I$14-$I$5)/12)))</f>
        <v>62.00901541224814</v>
      </c>
      <c r="AE14" s="351">
        <f>IF((AN$20-AN$22)&gt;0,IF($U$12&lt;&gt;"",(AN$20-AN$22)*((1-$U$12)*(1-$U$49))^(IF($I$14&lt;9,12+$I$14-$I$5,$I$14-$I$5)/12)))</f>
        <v>57.786395977069006</v>
      </c>
      <c r="AI14" s="307"/>
      <c r="AJ14" s="307" t="s">
        <v>64</v>
      </c>
      <c r="AK14" s="355">
        <f>IF(AK5&lt;=0,0,IF(AK8/AK5&lt;=0,0,IF(AK8/AK5&gt;1,1,AK8/AK5)))</f>
        <v>0.0019316597152407267</v>
      </c>
      <c r="AL14" s="355">
        <f>IF(AL5&lt;=0,0,IF(AL8/AL5&lt;=0,0,IF(AL8/AL5&gt;1,1,AL8/AL5)))</f>
        <v>0.002013176336415498</v>
      </c>
      <c r="AM14" s="355">
        <f>IF(AM5&lt;=0,0,IF(AM8/AM5&lt;=0,0,IF(AM8/AM5&gt;1,1,AM8/AM5)))</f>
        <v>0.0019715839482228946</v>
      </c>
      <c r="AN14" s="355">
        <f>IF(AN5&lt;=0,0,IF(AN8/AN5&lt;=0,0,IF(AN8/AN5&gt;1,1,AN8/AN5)))</f>
        <v>0.001922557528042114</v>
      </c>
      <c r="AO14" s="294"/>
      <c r="AP14" s="278"/>
      <c r="AQ14" s="278" t="s">
        <v>13</v>
      </c>
      <c r="AR14" s="334">
        <f>(AK7+AK39+AK22)/AR6</f>
        <v>0.30456984834158707</v>
      </c>
      <c r="AS14" s="334">
        <f>(AL7+AL39+AL22)/AS6</f>
        <v>0.3044207689306787</v>
      </c>
      <c r="AT14" s="334">
        <f>(AM7+AM39+AM22)/AT6</f>
        <v>0.3160543109994761</v>
      </c>
      <c r="AU14" s="334">
        <f>(AN7+AN39+AN22)/AU6</f>
        <v>0.3339617148794156</v>
      </c>
    </row>
    <row r="15" spans="3:55" ht="15" thickBot="1">
      <c r="C15" s="280"/>
      <c r="D15" s="280" t="str">
        <f>IF(D14=9,"sep",IF(D14=10,"okt",IF(D14=11,"nov",IF(D14=12,"dec",IF(D14=1,"jan",IF(D14=2,"feb",IF(D14=3,"mar",IF(D14=4,"apr",""))))))))</f>
        <v>jan</v>
      </c>
      <c r="E15" s="280"/>
      <c r="F15" s="280"/>
      <c r="G15" s="280"/>
      <c r="H15" s="280"/>
      <c r="I15" s="280" t="str">
        <f>IF(I14=9,"sep",IF(I14=10,"okt",IF(I14=11,"nov",IF(I14=12,"dec",IF(I14=1,"jan",IF(I14=2,"feb",IF(I14=3,"mar",IF(I14=4,"apr",""))))))))</f>
        <v>jan</v>
      </c>
      <c r="K15" s="338" t="s">
        <v>221</v>
      </c>
      <c r="L15" s="348"/>
      <c r="M15" s="282">
        <f>IF(Kod!$I$10='Back Office'!$B$1,'Back Office'!B21,IF(Kod!$I$10='Back Office'!$C$1,'Back Office'!C21,IF(Kod!$I$10='Back Office'!$D$1,'Back Office'!D21,IF(Kod!$I$10='Back Office'!$E$1,'Back Office'!E21,IF(Kod!$I$10='Back Office'!$F$1,'Back Office'!F21,IF(Kod!$I$10='Back Office'!$G$1,'Back Office'!G21,IF(Kod!$I$10='Back Office'!$H$1,'Back Office'!H21,IF(Kod!$I$10='Back Office'!$I$1,'Back Office'!I21,""))))))))</f>
        <v>0</v>
      </c>
      <c r="N15" s="349"/>
      <c r="O15" s="282">
        <f>IF(Kod!$E$10='Back Office'!$B$1,'Back Office'!B22,IF(Kod!$E$10='Back Office'!$C$1,'Back Office'!C22,IF(Kod!$E$10='Back Office'!$D$1,'Back Office'!D22,IF(Kod!$E$10='Back Office'!$E$1,'Back Office'!E22,IF(Kod!$E$10='Back Office'!$F$1,'Back Office'!F22,IF(Kod!$E$10='Back Office'!$G$1,'Back Office'!G22,IF(Kod!$E$10='Back Office'!$H$1,'Back Office'!H22,IF(Kod!$E$10='Back Office'!$I$1,'Back Office'!I22,""))))))))</f>
        <v>0.667</v>
      </c>
      <c r="P15" s="345">
        <f t="shared" si="9"/>
        <v>0</v>
      </c>
      <c r="R15" s="288" t="s">
        <v>46</v>
      </c>
      <c r="S15" s="289" t="s">
        <v>127</v>
      </c>
      <c r="T15" s="288" t="s">
        <v>161</v>
      </c>
      <c r="U15" s="288" t="s">
        <v>199</v>
      </c>
      <c r="V15" s="288" t="s">
        <v>200</v>
      </c>
      <c r="W15" s="289" t="s">
        <v>197</v>
      </c>
      <c r="AA15" s="323" t="s">
        <v>39</v>
      </c>
      <c r="AB15" s="356">
        <f>IF((AK$35-AK$39)&gt;0,IF($U$14&lt;&gt;"",(AK$35-AK$39)*((1-$U$14)*(1-$U$50))^(IF($I$14&lt;9,12+$I$14-$I$5,$I$14-$I$5)/IF($I$5=10,8,9))))</f>
        <v>29.573517662442086</v>
      </c>
      <c r="AC15" s="356">
        <f>IF((AL$35-AL$39)&gt;0,IF($U$14&lt;&gt;"",(AL$35-AL$39)*((1-$U$14)*(1-$U$50))^(IF($I$14&lt;9,12+$I$14-$I$5,$I$14-$I$5)/IF($I$5=10,8,9))))</f>
        <v>27.85495883262045</v>
      </c>
      <c r="AD15" s="356">
        <f>IF((AM$35-AM$39)&gt;0,IF($U$14&lt;&gt;"",(AM$35-AM$39)*((1-$U$14)*(1-$U$50))^(IF($I$14&lt;9,12+$I$14-$I$5,$I$14-$I$5)/IF($I$5=10,8,9))))</f>
        <v>26.281765757404695</v>
      </c>
      <c r="AE15" s="356">
        <f>IF((AN$35-AN$39)&gt;0,IF($U$14&lt;&gt;"",(AN$35-AN$39)*((1-$U$14)*(1-$U$50))^(IF($I$14&lt;9,12+$I$14-$I$5,$I$14-$I$5)/IF($I$5=10,8,9))))</f>
        <v>23.408763885679758</v>
      </c>
      <c r="AI15" s="307"/>
      <c r="AJ15" s="313" t="s">
        <v>25</v>
      </c>
      <c r="AK15" s="357">
        <f>IF(AK5&lt;=0,0,IF(AK9/AK5&lt;=0,0,IF(AK9/AK5&gt;1,1,AK9/AK5)))</f>
        <v>0.01967145621160168</v>
      </c>
      <c r="AL15" s="357">
        <f>IF(AL5&lt;=0,0,IF(AL9/AL5&gt;1,1,AL9/AL5))</f>
        <v>0.020501597582416257</v>
      </c>
      <c r="AM15" s="357">
        <f>IF(AM5&lt;=0,0,IF(AM9/AM5&gt;1,1,AM9/AM5))</f>
        <v>0.02007803289521421</v>
      </c>
      <c r="AN15" s="357">
        <f>IF(AN5&lt;=0,0,IF(AN9/AN5&gt;1,1,AN9/AN5))</f>
        <v>0.019578762205771053</v>
      </c>
      <c r="AO15" s="358"/>
      <c r="AP15" s="278"/>
      <c r="AQ15" s="278"/>
      <c r="AR15" s="284"/>
      <c r="AS15" s="278"/>
      <c r="AT15" s="278"/>
      <c r="AU15" s="278"/>
      <c r="BC15" s="278"/>
    </row>
    <row r="16" spans="3:54" ht="15" thickTop="1">
      <c r="C16" s="295" t="s">
        <v>89</v>
      </c>
      <c r="D16" s="302">
        <f>D17*D4/1000</f>
        <v>109.818</v>
      </c>
      <c r="E16" s="304">
        <f>I16</f>
        <v>109.818</v>
      </c>
      <c r="F16" s="304">
        <f>E16</f>
        <v>109.818</v>
      </c>
      <c r="G16" s="304"/>
      <c r="H16" s="280"/>
      <c r="I16" s="304">
        <f>IF(I17&lt;&gt;"",D16,"")</f>
        <v>109.818</v>
      </c>
      <c r="K16" s="338" t="s">
        <v>226</v>
      </c>
      <c r="L16" s="348"/>
      <c r="M16" s="282">
        <f>IF(Kod!$I$10='Back Office'!$B$1,'Back Office'!B22,IF(Kod!$I$10='Back Office'!$C$1,'Back Office'!C22,IF(Kod!$I$10='Back Office'!$D$1,'Back Office'!D22,IF(Kod!$I$10='Back Office'!$E$1,'Back Office'!E22,IF(Kod!$I$10='Back Office'!$F$1,'Back Office'!F22,IF(Kod!$I$10='Back Office'!$G$1,'Back Office'!G22,IF(Kod!$I$10='Back Office'!$H$1,'Back Office'!H22,IF(Kod!$I$10='Back Office'!$I$1,'Back Office'!I22,""))))))))</f>
        <v>0.667</v>
      </c>
      <c r="N16" s="349"/>
      <c r="O16" s="282">
        <f>IF(Kod!$E$10='Back Office'!$B$1,'Back Office'!B23,IF(Kod!$E$10='Back Office'!$C$1,'Back Office'!C23,IF(Kod!$E$10='Back Office'!$D$1,'Back Office'!D23,IF(Kod!$E$10='Back Office'!$E$1,'Back Office'!E23,IF(Kod!$E$10='Back Office'!$F$1,'Back Office'!F23,IF(Kod!$E$10='Back Office'!$G$1,'Back Office'!G23,IF(Kod!$E$10='Back Office'!$H$1,'Back Office'!H23,IF(Kod!$E$10='Back Office'!$I$1,'Back Office'!I23,""))))))))</f>
        <v>0.33299999999999996</v>
      </c>
      <c r="P16" s="345">
        <f t="shared" si="9"/>
        <v>0.667</v>
      </c>
      <c r="R16" s="300" t="s">
        <v>11</v>
      </c>
      <c r="S16" s="280"/>
      <c r="T16" s="302">
        <f>IF(AND($I$9&lt;&gt;1),0,$I$11*($M$11*($M$13*0.52+$M$15)+($M$19*($M$21*$M$25+$M$23))))</f>
        <v>0</v>
      </c>
      <c r="U16" s="280"/>
      <c r="V16" s="302">
        <f>AB23</f>
        <v>0</v>
      </c>
      <c r="W16" s="280"/>
      <c r="AA16" s="278" t="s">
        <v>13</v>
      </c>
      <c r="AB16" s="284">
        <f>SUM(AB13:AB15)</f>
        <v>128.24249370340445</v>
      </c>
      <c r="AC16" s="284">
        <f>SUM(AC13:AC15)</f>
        <v>123.63362504942036</v>
      </c>
      <c r="AD16" s="284">
        <f>SUM(AD13:AD15)</f>
        <v>117.0924188729853</v>
      </c>
      <c r="AE16" s="284">
        <f>SUM(AE13:AE15)</f>
        <v>107.92358259508056</v>
      </c>
      <c r="AI16" s="307"/>
      <c r="AJ16" s="307" t="s">
        <v>13</v>
      </c>
      <c r="AK16" s="352">
        <f>IF(AK5&lt;=0,0,IF(AK12/AK5&lt;=0,0,IF(AK12/AK5&gt;1,1,AK12/AK5)))</f>
        <v>0.36395624915821234</v>
      </c>
      <c r="AL16" s="352">
        <f>IF(AL5&lt;=0,0,IF(AL12/AL5&gt;1,1,AL12/AL5))</f>
        <v>0.33711501150187434</v>
      </c>
      <c r="AM16" s="352">
        <f>IF(AM5&lt;=0,0,IF(AM12/AM5&gt;1,1,AM12/AM5))</f>
        <v>0.3508102697214071</v>
      </c>
      <c r="AN16" s="352">
        <f>IF(AN5&lt;=0,0,IF(AN12/AN5&gt;1,1,AN12/AN5))</f>
        <v>0.3669533553467359</v>
      </c>
      <c r="AP16" s="283" t="s">
        <v>235</v>
      </c>
      <c r="AQ16" s="278"/>
      <c r="AR16" s="278"/>
      <c r="AS16" s="278"/>
      <c r="AT16" s="278"/>
      <c r="AU16" s="278"/>
      <c r="AV16" s="278"/>
      <c r="AW16" s="278"/>
      <c r="AX16" s="278"/>
      <c r="AY16" s="278"/>
      <c r="AZ16" s="278"/>
      <c r="BA16" s="278"/>
      <c r="BB16" s="278"/>
    </row>
    <row r="17" spans="3:54" ht="14.25">
      <c r="C17" s="295" t="s">
        <v>51</v>
      </c>
      <c r="D17" s="359">
        <f>IF('3 Förutsättningar'!F23&lt;&gt;"",'3 Förutsättningar'!F23,"")</f>
        <v>6</v>
      </c>
      <c r="E17" s="304">
        <f>I17</f>
        <v>6</v>
      </c>
      <c r="F17" s="304">
        <f>E17</f>
        <v>6</v>
      </c>
      <c r="G17" s="304"/>
      <c r="H17" s="280"/>
      <c r="I17" s="297">
        <f>IF(AND(D17&gt;0,'3 Förutsättningar'!G23&lt;&gt;"ORIMLIGT VÄRDE"),D17,"")</f>
        <v>6</v>
      </c>
      <c r="K17" s="338" t="s">
        <v>227</v>
      </c>
      <c r="L17" s="348"/>
      <c r="M17" s="282">
        <f>IF(Kod!$I$10='Back Office'!$B$1,'Back Office'!B23,IF(Kod!$I$10='Back Office'!$C$1,'Back Office'!C23,IF(Kod!$I$10='Back Office'!$D$1,'Back Office'!D23,IF(Kod!$I$10='Back Office'!$E$1,'Back Office'!E23,IF(Kod!$I$10='Back Office'!$F$1,'Back Office'!F23,IF(Kod!$I$10='Back Office'!$G$1,'Back Office'!G23,IF(Kod!$I$10='Back Office'!$H$1,'Back Office'!H23,IF(Kod!$I$10='Back Office'!$I$1,'Back Office'!I23,""))))))))</f>
        <v>0.33299999999999996</v>
      </c>
      <c r="N17" s="349"/>
      <c r="O17" s="282"/>
      <c r="P17" s="345">
        <f t="shared" si="9"/>
        <v>0.33299999999999996</v>
      </c>
      <c r="R17" s="300" t="s">
        <v>9</v>
      </c>
      <c r="S17" s="280"/>
      <c r="T17" s="302">
        <f>IF(AND($I$9&lt;&gt;1),0,$I$11*($M$11*($M$13*(1-0.52)+$M$14)+($M$19*($M$21*$M$24+$M$22))))</f>
        <v>0</v>
      </c>
      <c r="U17" s="280"/>
      <c r="V17" s="302">
        <f>AB30</f>
        <v>0</v>
      </c>
      <c r="W17" s="280"/>
      <c r="Y17" s="283" t="s">
        <v>170</v>
      </c>
      <c r="AI17" s="292"/>
      <c r="AJ17" s="293"/>
      <c r="AK17" s="293">
        <f>AK2</f>
        <v>2022</v>
      </c>
      <c r="AL17" s="293">
        <f>AL2</f>
        <v>2023</v>
      </c>
      <c r="AM17" s="293">
        <f>AM2</f>
        <v>2024</v>
      </c>
      <c r="AN17" s="293">
        <f>AN2</f>
        <v>2025</v>
      </c>
      <c r="AP17" s="278"/>
      <c r="AQ17" s="277" t="str">
        <f aca="true" t="shared" si="10" ref="AQ17:BB17">IF(AQ18=4,"apr",IF(AQ18=3,"mar",IF(AQ18=2,"feb",IF(AQ18=1,"jan",IF(AQ18=12,"dec",IF(AQ18=11,"nov",IF(AQ18=10,"okt",IF(AQ18=9,"sep",""))))))))</f>
        <v>sep</v>
      </c>
      <c r="AR17" s="277" t="str">
        <f t="shared" si="10"/>
        <v>okt</v>
      </c>
      <c r="AS17" s="277" t="str">
        <f t="shared" si="10"/>
        <v>nov</v>
      </c>
      <c r="AT17" s="277" t="str">
        <f t="shared" si="10"/>
        <v>dec</v>
      </c>
      <c r="AU17" s="277" t="str">
        <f t="shared" si="10"/>
        <v>jan</v>
      </c>
      <c r="AV17" s="277" t="str">
        <f t="shared" si="10"/>
        <v>feb</v>
      </c>
      <c r="AW17" s="277" t="str">
        <f t="shared" si="10"/>
        <v>mar</v>
      </c>
      <c r="AX17" s="277" t="str">
        <f t="shared" si="10"/>
        <v>apr</v>
      </c>
      <c r="AY17" s="277">
        <f t="shared" si="10"/>
      </c>
      <c r="AZ17" s="277">
        <f t="shared" si="10"/>
      </c>
      <c r="BA17" s="277">
        <f t="shared" si="10"/>
      </c>
      <c r="BB17" s="277">
        <f t="shared" si="10"/>
      </c>
    </row>
    <row r="18" spans="3:55" s="278" customFormat="1" ht="14.25">
      <c r="C18" s="295" t="s">
        <v>52</v>
      </c>
      <c r="D18" s="344">
        <f>IF('3 Förutsättningar'!F24&lt;&gt;"",'3 Förutsättningar'!F24,"")</f>
        <v>0.41</v>
      </c>
      <c r="E18" s="360">
        <f>I18</f>
        <v>0.41</v>
      </c>
      <c r="F18" s="360">
        <f>E18</f>
        <v>0.41</v>
      </c>
      <c r="G18" s="360"/>
      <c r="H18" s="280"/>
      <c r="I18" s="345">
        <f>IF(AND(D18&gt;0,'3 Förutsättningar'!G24&lt;&gt;"ORIMLIGT VÄRDE"),D18,"")</f>
        <v>0.41</v>
      </c>
      <c r="K18" s="279" t="s">
        <v>223</v>
      </c>
      <c r="L18" s="287" t="s">
        <v>127</v>
      </c>
      <c r="M18" s="288" t="s">
        <v>161</v>
      </c>
      <c r="N18" s="280"/>
      <c r="P18" s="289" t="s">
        <v>197</v>
      </c>
      <c r="R18" s="300" t="s">
        <v>10</v>
      </c>
      <c r="S18" s="280"/>
      <c r="T18" s="361"/>
      <c r="U18" s="280"/>
      <c r="W18" s="280"/>
      <c r="Y18" s="292"/>
      <c r="Z18" s="292"/>
      <c r="AA18" s="292"/>
      <c r="AB18" s="305">
        <f>AB12</f>
        <v>2022</v>
      </c>
      <c r="AC18" s="305">
        <f>AL2</f>
        <v>2023</v>
      </c>
      <c r="AD18" s="305">
        <f>AM2</f>
        <v>2024</v>
      </c>
      <c r="AE18" s="305">
        <f>AN2</f>
        <v>2025</v>
      </c>
      <c r="AI18" s="325" t="s">
        <v>18</v>
      </c>
      <c r="AJ18" s="325" t="s">
        <v>19</v>
      </c>
      <c r="AK18" s="362"/>
      <c r="AL18" s="362">
        <f>IF(AK20-AK27=0,0,AK20-AK27)</f>
        <v>66.75420639898329</v>
      </c>
      <c r="AM18" s="362">
        <f>IF(AL20-AL27=0,0,AL20-AL27)</f>
        <v>64.15192223138146</v>
      </c>
      <c r="AN18" s="362">
        <f>IF(AM20-AM27=0,0,AM20-AM27)</f>
        <v>60.606285181321155</v>
      </c>
      <c r="AP18" s="292"/>
      <c r="AQ18" s="305">
        <f>$D$5</f>
        <v>9</v>
      </c>
      <c r="AR18" s="306">
        <f>IF(AQ$18=12,1,AQ$18+1)</f>
        <v>10</v>
      </c>
      <c r="AS18" s="306">
        <f aca="true" t="shared" si="11" ref="AS18:BB18">IF(AR$18=12,1,AR$18+1)</f>
        <v>11</v>
      </c>
      <c r="AT18" s="306">
        <f t="shared" si="11"/>
        <v>12</v>
      </c>
      <c r="AU18" s="306">
        <f t="shared" si="11"/>
        <v>1</v>
      </c>
      <c r="AV18" s="306">
        <f t="shared" si="11"/>
        <v>2</v>
      </c>
      <c r="AW18" s="306">
        <f t="shared" si="11"/>
        <v>3</v>
      </c>
      <c r="AX18" s="306">
        <f t="shared" si="11"/>
        <v>4</v>
      </c>
      <c r="AY18" s="306">
        <f t="shared" si="11"/>
        <v>5</v>
      </c>
      <c r="AZ18" s="306">
        <f t="shared" si="11"/>
        <v>6</v>
      </c>
      <c r="BA18" s="306">
        <f t="shared" si="11"/>
        <v>7</v>
      </c>
      <c r="BB18" s="306">
        <f t="shared" si="11"/>
        <v>8</v>
      </c>
      <c r="BC18" s="3"/>
    </row>
    <row r="19" spans="3:54" ht="15" thickBot="1">
      <c r="C19" s="279" t="s">
        <v>165</v>
      </c>
      <c r="D19" s="280"/>
      <c r="E19" s="280"/>
      <c r="F19" s="280"/>
      <c r="G19" s="280"/>
      <c r="H19" s="280"/>
      <c r="I19" s="280"/>
      <c r="K19" s="280" t="s">
        <v>112</v>
      </c>
      <c r="L19" s="280"/>
      <c r="M19" s="282">
        <f>IF(Kod!$I$10='Back Office'!$B$1,'Back Office'!B25,IF(Kod!$I$10='Back Office'!$C$1,'Back Office'!C25,IF(Kod!$I$10='Back Office'!$D$1,'Back Office'!D25,IF(Kod!$I$10='Back Office'!$E$1,'Back Office'!E25,IF(Kod!$I$10='Back Office'!$F$1,'Back Office'!F25,IF(Kod!$I$10='Back Office'!$G$1,'Back Office'!G25,IF(Kod!$I$10='Back Office'!$H$1,'Back Office'!H25,IF(Kod!$I$10='Back Office'!$I$1,'Back Office'!I25,""))))))))</f>
        <v>59</v>
      </c>
      <c r="N19" s="280"/>
      <c r="O19" s="282">
        <f>IF(Kod!$E$10='Back Office'!$B$1,'Back Office'!B25,IF(Kod!$E$10='Back Office'!$C$1,'Back Office'!C25,IF(Kod!$E$10='Back Office'!$D$1,'Back Office'!D25,IF(Kod!$E$10='Back Office'!$E$1,'Back Office'!E25,IF(Kod!$E$10='Back Office'!$F$1,'Back Office'!F25,IF(Kod!$E$10='Back Office'!$G$1,'Back Office'!G25,IF(Kod!$E$10='Back Office'!$H$1,'Back Office'!H25,IF(Kod!$E$10='Back Office'!$I$1,'Back Office'!I25,""))))))))</f>
        <v>59</v>
      </c>
      <c r="P19" s="318">
        <f>IF(L19&lt;&gt;"",L19,M19)</f>
        <v>59</v>
      </c>
      <c r="R19" s="300" t="s">
        <v>186</v>
      </c>
      <c r="S19" s="280"/>
      <c r="T19" s="302">
        <f>IF(AND($I$9&lt;&gt;1),0,IF(M19&lt;&gt;"",$I$11*($M$19*$M$20),""))</f>
        <v>0</v>
      </c>
      <c r="U19" s="280"/>
      <c r="V19" s="302">
        <f>AB36</f>
        <v>0</v>
      </c>
      <c r="W19" s="280"/>
      <c r="Y19" s="278" t="s">
        <v>17</v>
      </c>
      <c r="Z19" s="278" t="s">
        <v>133</v>
      </c>
      <c r="AA19" s="278" t="s">
        <v>171</v>
      </c>
      <c r="AB19" s="284">
        <f>IF($T$33&gt;0,AK5*$T$33*(1-AK13^2/(AK13+$T$20)),0)</f>
        <v>0.09027682951849686</v>
      </c>
      <c r="AC19" s="284">
        <f>IF($T$33&gt;0,AL5*$T$33*(1-AL13^2/(AL13+$T$20)),0)</f>
        <v>0.08959968554982495</v>
      </c>
      <c r="AD19" s="284">
        <f>IF($T$33&gt;0,AM5*$T$33*(1-AM13^2/(AM13+$T$20)),0)</f>
        <v>0.08561548511652364</v>
      </c>
      <c r="AE19" s="284">
        <f>IF($T$33&gt;0,AN5*$T$33*(1-AN13^2/(AN13+$T$20)),0)</f>
        <v>0.0794526652338013</v>
      </c>
      <c r="AI19" s="325"/>
      <c r="AJ19" s="363" t="s">
        <v>21</v>
      </c>
      <c r="AK19" s="362"/>
      <c r="AL19" s="364">
        <f>IF(AK33-AK48&lt;=0,0,(AK33-AK48)*(1-$W$12)^(($I$5-6)/12)*(1-$W$49)^(($I$5-6)/12))</f>
        <v>13.639539413531818</v>
      </c>
      <c r="AM19" s="364">
        <f>IF(AL33-AL48&lt;=0,0,(AL33-AL48)*(1-$W$12)^(($I$5-6)/12)*(1-$W$49)^(($I$5-6)/12))</f>
        <v>12.846926537330274</v>
      </c>
      <c r="AN19" s="364">
        <f>IF(AM33-AM48&lt;=0,0,(AM33-AM48)*(1-$W$12)^(($I$5-6)/12)*(1-$W$49)^(($I$5-6)/12))</f>
        <v>12.12135749277419</v>
      </c>
      <c r="AP19" s="308" t="s">
        <v>232</v>
      </c>
      <c r="AQ19" s="308">
        <f>($I$24-$I$41)</f>
        <v>30.73536897115774</v>
      </c>
      <c r="AR19" s="308">
        <f>(AQ19-$W$3*(1/12))*(1-$W$48)^(1/12)</f>
        <v>30.649949318871066</v>
      </c>
      <c r="AS19" s="308">
        <f aca="true" t="shared" si="12" ref="AS19:BB19">(AR19-$W$3*(1/12))*(1-$W$48)^(1/12)</f>
        <v>30.564746209555516</v>
      </c>
      <c r="AT19" s="308">
        <f t="shared" si="12"/>
        <v>30.479759094264132</v>
      </c>
      <c r="AU19" s="308">
        <f t="shared" si="12"/>
        <v>30.39498742544156</v>
      </c>
      <c r="AV19" s="308">
        <f t="shared" si="12"/>
        <v>30.31043065692053</v>
      </c>
      <c r="AW19" s="308">
        <f t="shared" si="12"/>
        <v>30.22608824391833</v>
      </c>
      <c r="AX19" s="308">
        <f t="shared" si="12"/>
        <v>30.1419596430333</v>
      </c>
      <c r="AY19" s="308">
        <f t="shared" si="12"/>
        <v>30.058044312241325</v>
      </c>
      <c r="AZ19" s="308">
        <f t="shared" si="12"/>
        <v>29.974341710892354</v>
      </c>
      <c r="BA19" s="308">
        <f t="shared" si="12"/>
        <v>29.89085129970691</v>
      </c>
      <c r="BB19" s="308">
        <f t="shared" si="12"/>
        <v>29.807572540772608</v>
      </c>
    </row>
    <row r="20" spans="3:54" ht="15" thickTop="1">
      <c r="C20" s="280"/>
      <c r="D20" s="287" t="s">
        <v>127</v>
      </c>
      <c r="E20" s="288" t="s">
        <v>161</v>
      </c>
      <c r="F20" s="288" t="s">
        <v>198</v>
      </c>
      <c r="G20" s="288" t="s">
        <v>245</v>
      </c>
      <c r="H20" s="288" t="s">
        <v>231</v>
      </c>
      <c r="I20" s="289" t="s">
        <v>197</v>
      </c>
      <c r="K20" s="338" t="s">
        <v>220</v>
      </c>
      <c r="L20" s="348"/>
      <c r="M20" s="282">
        <f>IF(Kod!$I$10='Back Office'!$B$1,'Back Office'!B26,IF(Kod!$I$10='Back Office'!$C$1,'Back Office'!C26,IF(Kod!$I$10='Back Office'!$D$1,'Back Office'!D26,IF(Kod!$I$10='Back Office'!$E$1,'Back Office'!E26,IF(Kod!$I$10='Back Office'!$F$1,'Back Office'!F26,IF(Kod!$I$10='Back Office'!$G$1,'Back Office'!G26,IF(Kod!$I$10='Back Office'!$H$1,'Back Office'!H26,IF(Kod!$I$10='Back Office'!$I$1,'Back Office'!I26,""))))))))</f>
        <v>0.74</v>
      </c>
      <c r="N20" s="349"/>
      <c r="O20" s="282">
        <f>IF(Kod!$E$10='Back Office'!$B$1,'Back Office'!B26,IF(Kod!$E$10='Back Office'!$C$1,'Back Office'!C26,IF(Kod!$E$10='Back Office'!$D$1,'Back Office'!D26,IF(Kod!$E$10='Back Office'!$E$1,'Back Office'!E26,IF(Kod!$E$10='Back Office'!$F$1,'Back Office'!F26,IF(Kod!$E$10='Back Office'!$G$1,'Back Office'!G26,IF(Kod!$E$10='Back Office'!$H$1,'Back Office'!H26,IF(Kod!$E$10='Back Office'!$I$1,'Back Office'!I26,""))))))))</f>
        <v>0.74</v>
      </c>
      <c r="P20" s="345">
        <f aca="true" t="shared" si="13" ref="P20:P25">IF(L20&lt;&gt;"",L20,M20)</f>
        <v>0.74</v>
      </c>
      <c r="R20" s="300" t="s">
        <v>167</v>
      </c>
      <c r="S20" s="332"/>
      <c r="T20" s="332">
        <f>T16/$I$24</f>
        <v>0</v>
      </c>
      <c r="U20" s="280"/>
      <c r="V20" s="332">
        <f>V16/$I$24</f>
        <v>0</v>
      </c>
      <c r="W20" s="280"/>
      <c r="Z20" s="278" t="s">
        <v>128</v>
      </c>
      <c r="AA20" s="278" t="s">
        <v>130</v>
      </c>
      <c r="AB20" s="284">
        <f>$P$34*$P$35*$P$36*AB$16/$I$4*100/($P$37+AB$16/$I$4*100)*(1-$P$20)*$P$25*$I$11</f>
        <v>0</v>
      </c>
      <c r="AC20" s="284">
        <f>$P$34*$P$35*$P$36*AC$16/$I$4*100/($P$37+AC$16/$I$4*100)*(1-$P$20)*$P$25*$I$11</f>
        <v>0</v>
      </c>
      <c r="AD20" s="284">
        <f>$P$34*$P$35*$P$36*AD$16/$I$4*100/($P$37+AD$16/$I$4*100)*(1-$P$20)*$P$25*$I$11</f>
        <v>0</v>
      </c>
      <c r="AE20" s="284">
        <f>$P$34*$P$35*$P$36*AE$16/$I$4*100/($P$37+AE$16/$I$4*100)*(1-$P$20)*$P$25*$I$11</f>
        <v>0</v>
      </c>
      <c r="AI20" s="325"/>
      <c r="AJ20" s="365" t="s">
        <v>22</v>
      </c>
      <c r="AK20" s="321">
        <f>I27</f>
        <v>83.08510039316933</v>
      </c>
      <c r="AL20" s="366">
        <f>SUM(AL18:AL19)</f>
        <v>80.3937458125151</v>
      </c>
      <c r="AM20" s="366">
        <f>SUM(AM18:AM19)</f>
        <v>76.99884876871174</v>
      </c>
      <c r="AN20" s="366">
        <f>SUM(AN18:AN19)</f>
        <v>72.72764267409535</v>
      </c>
      <c r="AP20" s="308">
        <f>$AS$41</f>
        <v>2023</v>
      </c>
      <c r="AQ20" s="308">
        <f>($AL$5-$AL$7)</f>
        <v>30.504830638844453</v>
      </c>
      <c r="AR20" s="308">
        <f>(AQ20-$AL$8*(1/12))*(1-$W$48)^(1/12)</f>
        <v>30.420051698052195</v>
      </c>
      <c r="AS20" s="308">
        <f aca="true" t="shared" si="14" ref="AS20:BB20">(AR20-$AL$8*(1/12))*(1-$W$48)^(1/12)</f>
        <v>30.335487675996276</v>
      </c>
      <c r="AT20" s="308">
        <f t="shared" si="14"/>
        <v>30.25113802784725</v>
      </c>
      <c r="AU20" s="308">
        <f t="shared" si="14"/>
        <v>30.16700221015684</v>
      </c>
      <c r="AV20" s="308">
        <f t="shared" si="14"/>
        <v>30.083079680854443</v>
      </c>
      <c r="AW20" s="308">
        <f t="shared" si="14"/>
        <v>29.99936989924362</v>
      </c>
      <c r="AX20" s="308">
        <f t="shared" si="14"/>
        <v>29.915872325998638</v>
      </c>
      <c r="AY20" s="308">
        <f t="shared" si="14"/>
        <v>29.83258642316097</v>
      </c>
      <c r="AZ20" s="308">
        <f t="shared" si="14"/>
        <v>29.74951165413584</v>
      </c>
      <c r="BA20" s="308">
        <f t="shared" si="14"/>
        <v>29.666647483688774</v>
      </c>
      <c r="BB20" s="308">
        <f t="shared" si="14"/>
        <v>29.583993377942136</v>
      </c>
    </row>
    <row r="21" spans="3:54" ht="14.25">
      <c r="C21" s="300" t="s">
        <v>87</v>
      </c>
      <c r="D21" s="342"/>
      <c r="E21" s="342"/>
      <c r="F21" s="302">
        <f>IF(TYPE(SUM(F24:F30)&lt;&gt;16),SUM(F24:F30),"")</f>
        <v>187.1491886356139</v>
      </c>
      <c r="G21" s="302"/>
      <c r="H21" s="302">
        <f>F21</f>
        <v>187.1491886356139</v>
      </c>
      <c r="I21" s="304">
        <f>SUM(I24:I30)</f>
        <v>187.1491886356139</v>
      </c>
      <c r="K21" s="338" t="s">
        <v>217</v>
      </c>
      <c r="L21" s="348"/>
      <c r="M21" s="282">
        <f>IF(Kod!$I$10='Back Office'!$B$1,'Back Office'!B27,IF(Kod!$I$10='Back Office'!$C$1,'Back Office'!C27,IF(Kod!$I$10='Back Office'!$D$1,'Back Office'!D27,IF(Kod!$I$10='Back Office'!$E$1,'Back Office'!E27,IF(Kod!$I$10='Back Office'!$F$1,'Back Office'!F27,IF(Kod!$I$10='Back Office'!$G$1,'Back Office'!G27,IF(Kod!$I$10='Back Office'!$H$1,'Back Office'!H27,IF(Kod!$I$10='Back Office'!$I$1,'Back Office'!I27,""))))))))</f>
        <v>0.12</v>
      </c>
      <c r="N21" s="349"/>
      <c r="O21" s="282">
        <f>IF(Kod!$E$10='Back Office'!$B$1,'Back Office'!B27,IF(Kod!$E$10='Back Office'!$C$1,'Back Office'!C27,IF(Kod!$E$10='Back Office'!$D$1,'Back Office'!D27,IF(Kod!$E$10='Back Office'!$E$1,'Back Office'!E27,IF(Kod!$E$10='Back Office'!$F$1,'Back Office'!F27,IF(Kod!$E$10='Back Office'!$G$1,'Back Office'!G27,IF(Kod!$E$10='Back Office'!$H$1,'Back Office'!H27,IF(Kod!$E$10='Back Office'!$I$1,'Back Office'!I27,""))))))))</f>
        <v>0.12</v>
      </c>
      <c r="P21" s="345">
        <f t="shared" si="13"/>
        <v>0.12</v>
      </c>
      <c r="R21" s="300" t="s">
        <v>168</v>
      </c>
      <c r="S21" s="332"/>
      <c r="T21" s="332">
        <f>T17/$I$27</f>
        <v>0</v>
      </c>
      <c r="U21" s="280"/>
      <c r="V21" s="332">
        <f>V17/$I$27</f>
        <v>0</v>
      </c>
      <c r="W21" s="280"/>
      <c r="AA21" s="278" t="s">
        <v>216</v>
      </c>
      <c r="AB21" s="284">
        <f>$P$11*(1-($P$12+$P$13))*$P$17*$I$11</f>
        <v>0</v>
      </c>
      <c r="AC21" s="284">
        <f>$P$11*(1-($P$12+$P$13))*$P$17*$I$11</f>
        <v>0</v>
      </c>
      <c r="AD21" s="284">
        <f>$P$11*(1-($P$12+$P$13))*$P$17*$I$11</f>
        <v>0</v>
      </c>
      <c r="AE21" s="284">
        <f>$P$11*(1-($P$12+$P$13))*$P$17*$I$11</f>
        <v>0</v>
      </c>
      <c r="AI21" s="325" t="s">
        <v>185</v>
      </c>
      <c r="AJ21" s="367" t="s">
        <v>21</v>
      </c>
      <c r="AK21" s="367"/>
      <c r="AL21" s="368">
        <f>AL19/AL20</f>
        <v>0.16965921012488155</v>
      </c>
      <c r="AM21" s="368">
        <f>AM19/AM20</f>
        <v>0.1668456963028074</v>
      </c>
      <c r="AN21" s="368">
        <f>AN19/AN20</f>
        <v>0.1666678177249881</v>
      </c>
      <c r="AP21" s="308">
        <f>$AT$41</f>
        <v>2024</v>
      </c>
      <c r="AQ21" s="308">
        <f>($AM$5-$AM$7)</f>
        <v>29.148382134552755</v>
      </c>
      <c r="AR21" s="308">
        <f aca="true" t="shared" si="15" ref="AR21:BB21">(AQ21-$AM$8*(1/12))*(1-$W$48)^(1/12)</f>
        <v>29.067373031685335</v>
      </c>
      <c r="AS21" s="308">
        <f t="shared" si="15"/>
        <v>28.98656929083185</v>
      </c>
      <c r="AT21" s="308">
        <f t="shared" si="15"/>
        <v>28.905970391389605</v>
      </c>
      <c r="AU21" s="308">
        <f t="shared" si="15"/>
        <v>28.82557581407567</v>
      </c>
      <c r="AV21" s="308">
        <f t="shared" si="15"/>
        <v>28.745385040923512</v>
      </c>
      <c r="AW21" s="308">
        <f t="shared" si="15"/>
        <v>28.66539755527968</v>
      </c>
      <c r="AX21" s="308">
        <f t="shared" si="15"/>
        <v>28.58561284180045</v>
      </c>
      <c r="AY21" s="308">
        <f t="shared" si="15"/>
        <v>28.506030386448533</v>
      </c>
      <c r="AZ21" s="308">
        <f t="shared" si="15"/>
        <v>28.426649676489742</v>
      </c>
      <c r="BA21" s="308">
        <f t="shared" si="15"/>
        <v>28.347470200489695</v>
      </c>
      <c r="BB21" s="308">
        <f t="shared" si="15"/>
        <v>28.268491448310527</v>
      </c>
    </row>
    <row r="22" spans="3:54" ht="15" thickBot="1">
      <c r="C22" s="295" t="s">
        <v>92</v>
      </c>
      <c r="D22" s="342"/>
      <c r="E22" s="342"/>
      <c r="F22" s="369"/>
      <c r="G22" s="369"/>
      <c r="H22" s="369"/>
      <c r="I22" s="370">
        <f>I21/$D$4*1000</f>
        <v>10.225055380845431</v>
      </c>
      <c r="K22" s="338" t="s">
        <v>219</v>
      </c>
      <c r="L22" s="348"/>
      <c r="M22" s="282">
        <f>IF(Kod!$I$10='Back Office'!$B$1,'Back Office'!B28,IF(Kod!$I$10='Back Office'!$C$1,'Back Office'!C28,IF(Kod!$I$10='Back Office'!$D$1,'Back Office'!D28,IF(Kod!$I$10='Back Office'!$E$1,'Back Office'!E28,IF(Kod!$I$10='Back Office'!$F$1,'Back Office'!F28,IF(Kod!$I$10='Back Office'!$G$1,'Back Office'!G28,IF(Kod!$I$10='Back Office'!$H$1,'Back Office'!H28,IF(Kod!$I$10='Back Office'!$I$1,'Back Office'!I28,""))))))))</f>
        <v>0.10220000000000001</v>
      </c>
      <c r="N22" s="349"/>
      <c r="O22" s="282">
        <f>IF(Kod!$E$10='Back Office'!$B$1,'Back Office'!B28,IF(Kod!$E$10='Back Office'!$C$1,'Back Office'!C28,IF(Kod!$E$10='Back Office'!$D$1,'Back Office'!D28,IF(Kod!$E$10='Back Office'!$E$1,'Back Office'!E28,IF(Kod!$E$10='Back Office'!$F$1,'Back Office'!F28,IF(Kod!$E$10='Back Office'!$G$1,'Back Office'!G28,IF(Kod!$E$10='Back Office'!$H$1,'Back Office'!H28,IF(Kod!$E$10='Back Office'!$I$1,'Back Office'!I28,""))))))))</f>
        <v>0.10220000000000001</v>
      </c>
      <c r="P22" s="345">
        <f t="shared" si="13"/>
        <v>0.10220000000000001</v>
      </c>
      <c r="R22" s="300" t="s">
        <v>169</v>
      </c>
      <c r="S22" s="332"/>
      <c r="T22" s="332"/>
      <c r="U22" s="280"/>
      <c r="V22" s="332"/>
      <c r="W22" s="280"/>
      <c r="AA22" s="323" t="s">
        <v>132</v>
      </c>
      <c r="AB22" s="324">
        <f>$P$11*$P$13*0.52*$I$11</f>
        <v>0</v>
      </c>
      <c r="AC22" s="324">
        <f>$P$11*$P$13*0.52*$I$11</f>
        <v>0</v>
      </c>
      <c r="AD22" s="324">
        <f>$P$11*$P$13*0.52*$I$11</f>
        <v>0</v>
      </c>
      <c r="AE22" s="324">
        <f>$P$11*$P$13*0.52*$I$11</f>
        <v>0</v>
      </c>
      <c r="AI22" s="325" t="s">
        <v>23</v>
      </c>
      <c r="AJ22" s="325" t="s">
        <v>24</v>
      </c>
      <c r="AK22" s="326">
        <f>$I$42</f>
        <v>14</v>
      </c>
      <c r="AL22" s="326">
        <f>'4 Avskjutning&amp;Prognos'!F20</f>
        <v>14.001795</v>
      </c>
      <c r="AM22" s="326">
        <f>'4 Avskjutning&amp;Prognos'!G20</f>
        <v>14.27634</v>
      </c>
      <c r="AN22" s="326">
        <f>'4 Avskjutning&amp;Prognos'!H20</f>
        <v>14.27634</v>
      </c>
      <c r="AP22" s="308">
        <f>$AU$41</f>
        <v>2025</v>
      </c>
      <c r="AQ22" s="308">
        <f>($AN$5-$AN$7)</f>
        <v>27.05020761946914</v>
      </c>
      <c r="AR22" s="308">
        <f aca="true" t="shared" si="16" ref="AR22:BB22">(AQ22-$AN$8*(1/12))*(1-$W$48)^(1/12)</f>
        <v>26.97502975740067</v>
      </c>
      <c r="AS22" s="308">
        <f t="shared" si="16"/>
        <v>26.900042474867224</v>
      </c>
      <c r="AT22" s="308">
        <f t="shared" si="16"/>
        <v>26.82524528874042</v>
      </c>
      <c r="AU22" s="308">
        <f t="shared" si="16"/>
        <v>26.750637717116625</v>
      </c>
      <c r="AV22" s="308">
        <f t="shared" si="16"/>
        <v>26.67621927931386</v>
      </c>
      <c r="AW22" s="308">
        <f t="shared" si="16"/>
        <v>26.601989495868686</v>
      </c>
      <c r="AX22" s="308">
        <f t="shared" si="16"/>
        <v>26.52794788853314</v>
      </c>
      <c r="AY22" s="308">
        <f t="shared" si="16"/>
        <v>26.45409398027164</v>
      </c>
      <c r="AZ22" s="308">
        <f t="shared" si="16"/>
        <v>26.380427295257903</v>
      </c>
      <c r="BA22" s="308">
        <f t="shared" si="16"/>
        <v>26.306947358871895</v>
      </c>
      <c r="BB22" s="308">
        <f t="shared" si="16"/>
        <v>26.23365369769677</v>
      </c>
    </row>
    <row r="23" spans="3:40" ht="15" thickTop="1">
      <c r="C23" s="300" t="s">
        <v>86</v>
      </c>
      <c r="D23" s="302"/>
      <c r="E23" s="302"/>
      <c r="F23" s="302"/>
      <c r="G23" s="302"/>
      <c r="H23" s="302">
        <f>H21/(1+H34)</f>
        <v>129.82046936432707</v>
      </c>
      <c r="I23" s="300"/>
      <c r="K23" s="338" t="s">
        <v>221</v>
      </c>
      <c r="L23" s="348"/>
      <c r="M23" s="282">
        <f>IF(Kod!$I$10='Back Office'!$B$1,'Back Office'!B29,IF(Kod!$I$10='Back Office'!$C$1,'Back Office'!C29,IF(Kod!$I$10='Back Office'!$D$1,'Back Office'!D29,IF(Kod!$I$10='Back Office'!$E$1,'Back Office'!E29,IF(Kod!$I$10='Back Office'!$F$1,'Back Office'!F29,IF(Kod!$I$10='Back Office'!$G$1,'Back Office'!G29,IF(Kod!$I$10='Back Office'!$H$1,'Back Office'!H29,IF(Kod!$I$10='Back Office'!$I$1,'Back Office'!I29,""))))))))</f>
        <v>0.037800000000000056</v>
      </c>
      <c r="N23" s="349"/>
      <c r="O23" s="282">
        <f>IF(Kod!$E$10='Back Office'!$B$1,'Back Office'!B29,IF(Kod!$E$10='Back Office'!$C$1,'Back Office'!C29,IF(Kod!$E$10='Back Office'!$D$1,'Back Office'!D29,IF(Kod!$E$10='Back Office'!$E$1,'Back Office'!E29,IF(Kod!$E$10='Back Office'!$F$1,'Back Office'!F29,IF(Kod!$E$10='Back Office'!$G$1,'Back Office'!G29,IF(Kod!$E$10='Back Office'!$H$1,'Back Office'!H29,IF(Kod!$E$10='Back Office'!$I$1,'Back Office'!I29,""))))))))</f>
        <v>0.037800000000000056</v>
      </c>
      <c r="P23" s="345">
        <f t="shared" si="13"/>
        <v>0.037800000000000056</v>
      </c>
      <c r="R23" s="300" t="s">
        <v>187</v>
      </c>
      <c r="S23" s="332"/>
      <c r="T23" s="332">
        <f>T19/$I$30</f>
        <v>0</v>
      </c>
      <c r="U23" s="280"/>
      <c r="V23" s="332">
        <f>V19/$I$30</f>
        <v>0</v>
      </c>
      <c r="W23" s="280"/>
      <c r="AA23" s="278" t="s">
        <v>171</v>
      </c>
      <c r="AB23" s="284">
        <f>SUM(AB20:AB22)</f>
        <v>0</v>
      </c>
      <c r="AC23" s="284">
        <f>SUM(AC20:AC22)</f>
        <v>0</v>
      </c>
      <c r="AD23" s="284">
        <f>SUM(AD20:AD22)</f>
        <v>0</v>
      </c>
      <c r="AE23" s="284">
        <f>SUM(AE20:AE22)</f>
        <v>0</v>
      </c>
      <c r="AI23" s="325"/>
      <c r="AJ23" s="325" t="s">
        <v>64</v>
      </c>
      <c r="AK23" s="326">
        <f>IF($S$4&lt;&gt;"",$S$4,AB30+AB26)</f>
        <v>0.2663309096813988</v>
      </c>
      <c r="AL23" s="326">
        <f>IF($S$4&lt;&gt;"",$S$4,AC30+AC26)</f>
        <v>0.2559485121218429</v>
      </c>
      <c r="AM23" s="326">
        <f>IF($S$4&lt;&gt;"",$S$4,AD30+AD26)</f>
        <v>0.24180239621569954</v>
      </c>
      <c r="AN23" s="326">
        <f>IF($S$4&lt;&gt;"",$S$4,AE30+AE26)</f>
        <v>0.22533641153677458</v>
      </c>
    </row>
    <row r="24" spans="3:54" ht="14.25">
      <c r="C24" s="300" t="s">
        <v>11</v>
      </c>
      <c r="D24" s="302"/>
      <c r="E24" s="302"/>
      <c r="F24" s="371">
        <f>IF(AND($S$42&lt;&gt;"",$S$43&lt;&gt;"",$S$44&lt;&gt;""),$F$56+$I$41+$U$3*((IF($I$49&lt;9,12+$I$49-$I$5,$I$49-$I$5))/12)+$S$42*((IF($I$49&lt;9,12+$I$49-$I$5,$I$49-$I$5))/12),HLOOKUP($I$6,Z2:AG9,4,FALSE))</f>
        <v>44.80792618050444</v>
      </c>
      <c r="G24" s="304">
        <f>IF(AND($S$42&lt;&gt;"",$S$43&lt;&gt;"",$S$44&lt;&gt;""),$F$56+$I$41+$U$3*((IF($I$51&lt;9,12+$I$51-$I$5,$I$51-$I$5))/12)+$S$42*((IF($I$51&lt;9,12+$I$51-$I$5,$I$51-$I$5))/12),HLOOKUP($I$6,Z2:AG9,4,FALSE))</f>
        <v>44.80792618050444</v>
      </c>
      <c r="H24" s="372">
        <f>H32*H23</f>
        <v>46.73536897115774</v>
      </c>
      <c r="I24" s="304">
        <f>H24</f>
        <v>46.73536897115774</v>
      </c>
      <c r="J24" s="284"/>
      <c r="K24" s="338" t="s">
        <v>226</v>
      </c>
      <c r="L24" s="348"/>
      <c r="M24" s="282">
        <f>IF(Kod!$I$10='Back Office'!$B$1,'Back Office'!B30,IF(Kod!$I$10='Back Office'!$C$1,'Back Office'!C30,IF(Kod!$I$10='Back Office'!$D$1,'Back Office'!D30,IF(Kod!$I$10='Back Office'!$E$1,'Back Office'!E30,IF(Kod!$I$10='Back Office'!$F$1,'Back Office'!F30,IF(Kod!$I$10='Back Office'!$G$1,'Back Office'!G30,IF(Kod!$I$10='Back Office'!$H$1,'Back Office'!H30,IF(Kod!$I$10='Back Office'!$I$1,'Back Office'!I30,""))))))))</f>
        <v>0.73</v>
      </c>
      <c r="N24" s="349"/>
      <c r="O24" s="282">
        <f>IF(Kod!$E$10='Back Office'!$B$1,'Back Office'!B30,IF(Kod!$E$10='Back Office'!$C$1,'Back Office'!C30,IF(Kod!$E$10='Back Office'!$D$1,'Back Office'!D30,IF(Kod!$E$10='Back Office'!$E$1,'Back Office'!E30,IF(Kod!$E$10='Back Office'!$F$1,'Back Office'!F30,IF(Kod!$E$10='Back Office'!$G$1,'Back Office'!G30,IF(Kod!$E$10='Back Office'!$H$1,'Back Office'!H30,IF(Kod!$E$10='Back Office'!$I$1,'Back Office'!I30,""))))))))</f>
        <v>0.73</v>
      </c>
      <c r="P24" s="345">
        <f t="shared" si="13"/>
        <v>0.73</v>
      </c>
      <c r="R24" s="300" t="s">
        <v>93</v>
      </c>
      <c r="S24" s="332"/>
      <c r="T24" s="332">
        <f>T20</f>
        <v>0</v>
      </c>
      <c r="U24" s="280"/>
      <c r="V24" s="373"/>
      <c r="W24" s="280"/>
      <c r="Z24" s="278" t="s">
        <v>170</v>
      </c>
      <c r="AA24" s="278" t="s">
        <v>13</v>
      </c>
      <c r="AB24" s="284">
        <f>SUM(AB19,AB23)</f>
        <v>0.09027682951849686</v>
      </c>
      <c r="AC24" s="284">
        <f>SUM(AC19,AC23)</f>
        <v>0.08959968554982495</v>
      </c>
      <c r="AD24" s="284">
        <f>SUM(AD19,AD23)</f>
        <v>0.08561548511652364</v>
      </c>
      <c r="AE24" s="284">
        <f>SUM(AE19,AE23)</f>
        <v>0.0794526652338013</v>
      </c>
      <c r="AI24" s="325"/>
      <c r="AJ24" s="374" t="s">
        <v>25</v>
      </c>
      <c r="AK24" s="375">
        <f>IF(AND($S$42&lt;&gt;"",$S$43&lt;&gt;"",$S$44&lt;&gt;""),$W$43,$I$27*$W$49*(1-($I$45+$W$12)))</f>
        <v>2.0645630845046377</v>
      </c>
      <c r="AL24" s="375">
        <f>AL20*($W$49*(1-(AL28+AL29)))</f>
        <v>1.984080069011798</v>
      </c>
      <c r="AM24" s="375">
        <f>AM20*($W$49*(1-(AM28+AM29)))</f>
        <v>1.8744211911748814</v>
      </c>
      <c r="AN24" s="375">
        <f>AN20*($W$49*(1-(AN28+AN29)))</f>
        <v>1.7467789878767572</v>
      </c>
      <c r="AP24" s="283" t="s">
        <v>234</v>
      </c>
      <c r="AQ24" s="278"/>
      <c r="AR24" s="278"/>
      <c r="AS24" s="278"/>
      <c r="AT24" s="278"/>
      <c r="AU24" s="278"/>
      <c r="AV24" s="278"/>
      <c r="AW24" s="278"/>
      <c r="AX24" s="278"/>
      <c r="AY24" s="278"/>
      <c r="AZ24" s="278"/>
      <c r="BA24" s="278"/>
      <c r="BB24" s="278"/>
    </row>
    <row r="25" spans="3:54" ht="14.25">
      <c r="C25" s="300" t="s">
        <v>174</v>
      </c>
      <c r="D25" s="302"/>
      <c r="E25" s="302"/>
      <c r="F25" s="302"/>
      <c r="G25" s="302"/>
      <c r="H25" s="302"/>
      <c r="I25" s="304"/>
      <c r="K25" s="338" t="s">
        <v>227</v>
      </c>
      <c r="L25" s="348"/>
      <c r="M25" s="282">
        <f>IF(Kod!$I$10='Back Office'!$B$1,'Back Office'!B31,IF(Kod!$I$10='Back Office'!$C$1,'Back Office'!C31,IF(Kod!$I$10='Back Office'!$D$1,'Back Office'!D31,IF(Kod!$I$10='Back Office'!$E$1,'Back Office'!E31,IF(Kod!$I$10='Back Office'!$F$1,'Back Office'!F31,IF(Kod!$I$10='Back Office'!$G$1,'Back Office'!G31,IF(Kod!$I$10='Back Office'!$H$1,'Back Office'!H31,IF(Kod!$I$10='Back Office'!$I$1,'Back Office'!I31,""))))))))</f>
        <v>0.27</v>
      </c>
      <c r="N25" s="349"/>
      <c r="O25" s="282">
        <f>IF(Kod!$E$10='Back Office'!$B$1,'Back Office'!B31,IF(Kod!$E$10='Back Office'!$C$1,'Back Office'!C31,IF(Kod!$E$10='Back Office'!$D$1,'Back Office'!D31,IF(Kod!$E$10='Back Office'!$E$1,'Back Office'!E31,IF(Kod!$E$10='Back Office'!$F$1,'Back Office'!F31,IF(Kod!$E$10='Back Office'!$G$1,'Back Office'!G31,IF(Kod!$E$10='Back Office'!$H$1,'Back Office'!H31,IF(Kod!$E$10='Back Office'!$I$1,'Back Office'!I31,""))))))))</f>
        <v>0.27</v>
      </c>
      <c r="P25" s="345">
        <f t="shared" si="13"/>
        <v>0.27</v>
      </c>
      <c r="R25" s="300" t="s">
        <v>94</v>
      </c>
      <c r="S25" s="332"/>
      <c r="T25" s="332">
        <f>T21</f>
        <v>0</v>
      </c>
      <c r="U25" s="280"/>
      <c r="V25" s="342"/>
      <c r="W25" s="280"/>
      <c r="Y25" s="306"/>
      <c r="Z25" s="306"/>
      <c r="AA25" s="306"/>
      <c r="AB25" s="305">
        <f>AB12</f>
        <v>2022</v>
      </c>
      <c r="AC25" s="305">
        <f>AC12</f>
        <v>2023</v>
      </c>
      <c r="AD25" s="305">
        <f>AD12</f>
        <v>2024</v>
      </c>
      <c r="AE25" s="305">
        <f>AE12</f>
        <v>2025</v>
      </c>
      <c r="AP25" s="278"/>
      <c r="AQ25" s="277" t="str">
        <f aca="true" t="shared" si="17" ref="AQ25:BB25">IF(AQ26=4,"apr",IF(AQ26=3,"mar",IF(AQ26=2,"feb",IF(AQ26=1,"jan",IF(AQ26=12,"dec",IF(AQ26=11,"nov",IF(AQ26=10,"okt",IF(AQ26=9,"sep",""))))))))</f>
        <v>sep</v>
      </c>
      <c r="AR25" s="277" t="str">
        <f t="shared" si="17"/>
        <v>okt</v>
      </c>
      <c r="AS25" s="277" t="str">
        <f t="shared" si="17"/>
        <v>nov</v>
      </c>
      <c r="AT25" s="277" t="str">
        <f t="shared" si="17"/>
        <v>dec</v>
      </c>
      <c r="AU25" s="277" t="str">
        <f t="shared" si="17"/>
        <v>jan</v>
      </c>
      <c r="AV25" s="277" t="str">
        <f t="shared" si="17"/>
        <v>feb</v>
      </c>
      <c r="AW25" s="277" t="str">
        <f t="shared" si="17"/>
        <v>mar</v>
      </c>
      <c r="AX25" s="277" t="str">
        <f t="shared" si="17"/>
        <v>apr</v>
      </c>
      <c r="AY25" s="277">
        <f t="shared" si="17"/>
      </c>
      <c r="AZ25" s="277">
        <f t="shared" si="17"/>
      </c>
      <c r="BA25" s="277">
        <f t="shared" si="17"/>
      </c>
      <c r="BB25" s="277">
        <f t="shared" si="17"/>
      </c>
    </row>
    <row r="26" spans="3:54" ht="14.25">
      <c r="C26" s="300" t="s">
        <v>173</v>
      </c>
      <c r="D26" s="302"/>
      <c r="E26" s="302"/>
      <c r="F26" s="302"/>
      <c r="G26" s="302"/>
      <c r="H26" s="302"/>
      <c r="I26" s="304"/>
      <c r="K26" s="279" t="s">
        <v>225</v>
      </c>
      <c r="L26" s="287" t="s">
        <v>127</v>
      </c>
      <c r="M26" s="288" t="s">
        <v>161</v>
      </c>
      <c r="N26" s="280"/>
      <c r="O26" s="282"/>
      <c r="P26" s="289" t="s">
        <v>197</v>
      </c>
      <c r="R26" s="300" t="s">
        <v>95</v>
      </c>
      <c r="S26" s="332"/>
      <c r="T26" s="332"/>
      <c r="U26" s="280"/>
      <c r="V26" s="342"/>
      <c r="W26" s="280"/>
      <c r="Y26" s="278" t="s">
        <v>15</v>
      </c>
      <c r="Z26" s="278" t="s">
        <v>133</v>
      </c>
      <c r="AA26" s="278" t="s">
        <v>171</v>
      </c>
      <c r="AB26" s="284">
        <f>IF($T$34&gt;0,AK20*$T$34*(1-AK28^2/(AK28+$T$21)),0)</f>
        <v>0.2663309096813988</v>
      </c>
      <c r="AC26" s="284">
        <f>IF($T$34&gt;0,AL20*$T$34*(1-AL28^2/(AL28+$T$21)),0)</f>
        <v>0.2559485121218429</v>
      </c>
      <c r="AD26" s="284">
        <f>IF($T$34&gt;0,AM20*$T$34*(1-AM28^2/(AM28+$T$21)),0)</f>
        <v>0.24180239621569954</v>
      </c>
      <c r="AE26" s="284">
        <f>IF($T$34&gt;0,AN20*$T$34*(1-AN28^2/(AN28+$T$21)),0)</f>
        <v>0.22533641153677458</v>
      </c>
      <c r="AP26" s="292"/>
      <c r="AQ26" s="305">
        <f>$D$5</f>
        <v>9</v>
      </c>
      <c r="AR26" s="306">
        <f aca="true" t="shared" si="18" ref="AR26:BB26">IF(AQ$18=12,1,AQ$18+1)</f>
        <v>10</v>
      </c>
      <c r="AS26" s="306">
        <f t="shared" si="18"/>
        <v>11</v>
      </c>
      <c r="AT26" s="306">
        <f t="shared" si="18"/>
        <v>12</v>
      </c>
      <c r="AU26" s="306">
        <f t="shared" si="18"/>
        <v>1</v>
      </c>
      <c r="AV26" s="306">
        <f t="shared" si="18"/>
        <v>2</v>
      </c>
      <c r="AW26" s="306">
        <f t="shared" si="18"/>
        <v>3</v>
      </c>
      <c r="AX26" s="306">
        <f t="shared" si="18"/>
        <v>4</v>
      </c>
      <c r="AY26" s="306">
        <f t="shared" si="18"/>
        <v>5</v>
      </c>
      <c r="AZ26" s="306">
        <f t="shared" si="18"/>
        <v>6</v>
      </c>
      <c r="BA26" s="306">
        <f t="shared" si="18"/>
        <v>7</v>
      </c>
      <c r="BB26" s="306">
        <f t="shared" si="18"/>
        <v>8</v>
      </c>
    </row>
    <row r="27" spans="3:54" ht="14.25">
      <c r="C27" s="300" t="s">
        <v>9</v>
      </c>
      <c r="D27" s="302"/>
      <c r="E27" s="302"/>
      <c r="F27" s="376">
        <f>IF(AND($S$42&lt;&gt;"",$S$43&lt;&gt;"",$S$44&lt;&gt;""),$F$59+$I$42+$U$4*((IF($I$49&lt;9,12+$I$49-$I$5,$I$49-$I$5))/12)+$S$43*((IF($I$49&lt;9,12+$I$49-$I$5,$I$49-$I$5))/12),HLOOKUP($I$6,Z2:AG9,6,FALSE))</f>
        <v>81.21849442117703</v>
      </c>
      <c r="G27" s="377">
        <f>IF(AND($S$42&lt;&gt;"",$S$43&lt;&gt;"",$S$44&lt;&gt;""),$F$59+$I$42+$U$4*((IF($I$51&lt;9,12+$I$51-$I$5,$I$51-$I$5))/12)+$S$43*((IF($I$51&lt;9,12+$I$51-$I$5,$I$51-$I$5))/12),HLOOKUP($I$6,Z2:AG9,6,FALSE))</f>
        <v>81.21849442117703</v>
      </c>
      <c r="H27" s="378">
        <f>H33*H23</f>
        <v>83.08510039316933</v>
      </c>
      <c r="I27" s="304">
        <f>H27</f>
        <v>83.08510039316933</v>
      </c>
      <c r="J27" s="379"/>
      <c r="K27" s="280" t="s">
        <v>112</v>
      </c>
      <c r="L27" s="280"/>
      <c r="M27" s="282">
        <f>IF(Kod!$I$10='Back Office'!$B$1,'Back Office'!B33,IF(Kod!$I$10='Back Office'!$C$1,'Back Office'!C33,IF(Kod!$I$10='Back Office'!$D$1,'Back Office'!D33,IF(Kod!$I$10='Back Office'!$E$1,'Back Office'!E33,IF(Kod!$I$10='Back Office'!$F$1,'Back Office'!F33,IF(Kod!$I$10='Back Office'!$G$1,'Back Office'!G33,IF(Kod!$I$10='Back Office'!$H$1,'Back Office'!H33,IF(Kod!$I$10='Back Office'!$I$1,'Back Office'!I33,""))))))))</f>
        <v>120</v>
      </c>
      <c r="N27" s="280"/>
      <c r="O27" s="282">
        <f>IF(Kod!$E$10='Back Office'!$B$1,'Back Office'!B33,IF(Kod!$E$10='Back Office'!$C$1,'Back Office'!C33,IF(Kod!$E$10='Back Office'!$D$1,'Back Office'!D33,IF(Kod!$E$10='Back Office'!$E$1,'Back Office'!E33,IF(Kod!$E$10='Back Office'!$F$1,'Back Office'!F33,IF(Kod!$E$10='Back Office'!$G$1,'Back Office'!G33,IF(Kod!$E$10='Back Office'!$H$1,'Back Office'!H33,IF(Kod!$E$10='Back Office'!$I$1,'Back Office'!I33,""))))))))</f>
        <v>120</v>
      </c>
      <c r="P27" s="318">
        <f>IF(L27&lt;&gt;"",L27,M27)</f>
        <v>120</v>
      </c>
      <c r="R27" s="300" t="s">
        <v>188</v>
      </c>
      <c r="S27" s="332"/>
      <c r="T27" s="332">
        <f>T23</f>
        <v>0</v>
      </c>
      <c r="U27" s="280"/>
      <c r="V27" s="342"/>
      <c r="W27" s="280"/>
      <c r="Z27" s="278" t="s">
        <v>128</v>
      </c>
      <c r="AA27" s="278" t="s">
        <v>130</v>
      </c>
      <c r="AB27" s="284">
        <f>$P$34*$P$35*$P$36*AB$16/$I$4*100/($P$37+AB$16/$I$4*100)*(1-$P$20)*$P$24*$I$11</f>
        <v>0</v>
      </c>
      <c r="AC27" s="284">
        <f>$P$34*$P$35*$P$36*AC$16/$I$4*100/($P$37+AC$16/$I$4*100)*(1-$P$20)*$P$24*$I$11</f>
        <v>0</v>
      </c>
      <c r="AD27" s="284">
        <f>$P$34*$P$35*$P$36*AD$16/$I$4*100/($P$37+AD$16/$I$4*100)*(1-$P$20)*$P$24*$I$11</f>
        <v>0</v>
      </c>
      <c r="AE27" s="284">
        <f>$P$34*$P$35*$P$36*AE$16/$I$4*100/($P$37+AE$16/$I$4*100)*(1-$P$20)*$P$24*$I$11</f>
        <v>0</v>
      </c>
      <c r="AI27" s="325"/>
      <c r="AJ27" s="325" t="s">
        <v>13</v>
      </c>
      <c r="AK27" s="326">
        <f>SUM(AK22:AK24)</f>
        <v>16.330893994186034</v>
      </c>
      <c r="AL27" s="326">
        <f>SUM(AL22:AL24)</f>
        <v>16.24182358113364</v>
      </c>
      <c r="AM27" s="326">
        <f>SUM(AM22:AM24)</f>
        <v>16.39256358739058</v>
      </c>
      <c r="AN27" s="326">
        <f>SUM(AN22:AN24)</f>
        <v>16.24845539941353</v>
      </c>
      <c r="AP27" s="325" t="s">
        <v>232</v>
      </c>
      <c r="AQ27" s="380">
        <f>($I$27-$I$42)</f>
        <v>69.08510039316933</v>
      </c>
      <c r="AR27" s="380">
        <f>(AQ27-$W$4*(1/12))*(1-$W$49)^(1/12)</f>
        <v>68.88782832619103</v>
      </c>
      <c r="AS27" s="380">
        <f aca="true" t="shared" si="19" ref="AS27:BB27">(AR27-$W$4*(1/12))*(1-$W$49)^(1/12)</f>
        <v>68.69105635349267</v>
      </c>
      <c r="AT27" s="380">
        <f t="shared" si="19"/>
        <v>68.49478320731095</v>
      </c>
      <c r="AU27" s="380">
        <f t="shared" si="19"/>
        <v>68.29900762309637</v>
      </c>
      <c r="AV27" s="380">
        <f t="shared" si="19"/>
        <v>68.1037283395052</v>
      </c>
      <c r="AW27" s="380">
        <f t="shared" si="19"/>
        <v>67.90894409839119</v>
      </c>
      <c r="AX27" s="380">
        <f t="shared" si="19"/>
        <v>67.71465364479762</v>
      </c>
      <c r="AY27" s="380">
        <f t="shared" si="19"/>
        <v>67.52085572694912</v>
      </c>
      <c r="AZ27" s="380">
        <f t="shared" si="19"/>
        <v>67.32754909624363</v>
      </c>
      <c r="BA27" s="380">
        <f t="shared" si="19"/>
        <v>67.13473250724435</v>
      </c>
      <c r="BB27" s="380">
        <f t="shared" si="19"/>
        <v>66.94240471767174</v>
      </c>
    </row>
    <row r="28" spans="3:54" ht="14.25">
      <c r="C28" s="300" t="s">
        <v>176</v>
      </c>
      <c r="D28" s="302"/>
      <c r="E28" s="302"/>
      <c r="F28" s="302"/>
      <c r="G28" s="302"/>
      <c r="H28" s="302"/>
      <c r="I28" s="304"/>
      <c r="K28" s="338" t="s">
        <v>220</v>
      </c>
      <c r="L28" s="348"/>
      <c r="M28" s="282">
        <f>IF(Kod!$I$10='Back Office'!$B$1,'Back Office'!B34,IF(Kod!$I$10='Back Office'!$C$1,'Back Office'!C34,IF(Kod!$I$10='Back Office'!$D$1,'Back Office'!D34,IF(Kod!$I$10='Back Office'!$E$1,'Back Office'!E34,IF(Kod!$I$10='Back Office'!$F$1,'Back Office'!F34,IF(Kod!$I$10='Back Office'!$G$1,'Back Office'!G34,IF(Kod!$I$10='Back Office'!$H$1,'Back Office'!H34,IF(Kod!$I$10='Back Office'!$I$1,'Back Office'!I34,""))))))))</f>
        <v>0.8213333333333334</v>
      </c>
      <c r="N28" s="349"/>
      <c r="O28" s="282">
        <f>IF(Kod!$E$10='Back Office'!$B$1,'Back Office'!B34,IF(Kod!$E$10='Back Office'!$C$1,'Back Office'!C34,IF(Kod!$E$10='Back Office'!$D$1,'Back Office'!D34,IF(Kod!$E$10='Back Office'!$E$1,'Back Office'!E34,IF(Kod!$E$10='Back Office'!$F$1,'Back Office'!F34,IF(Kod!$E$10='Back Office'!$G$1,'Back Office'!G34,IF(Kod!$E$10='Back Office'!$H$1,'Back Office'!H34,IF(Kod!$E$10='Back Office'!$I$1,'Back Office'!I34,""))))))))</f>
        <v>0.8213333333333334</v>
      </c>
      <c r="P28" s="345">
        <f>IF(L28&lt;&gt;"",L28,M28)</f>
        <v>0.8213333333333334</v>
      </c>
      <c r="R28" s="288" t="s">
        <v>69</v>
      </c>
      <c r="S28" s="289" t="s">
        <v>127</v>
      </c>
      <c r="T28" s="288" t="s">
        <v>161</v>
      </c>
      <c r="U28" s="288" t="s">
        <v>199</v>
      </c>
      <c r="V28" s="288" t="s">
        <v>200</v>
      </c>
      <c r="W28" s="289" t="s">
        <v>197</v>
      </c>
      <c r="AA28" s="278" t="s">
        <v>216</v>
      </c>
      <c r="AB28" s="284">
        <f>$P$11*(1-($P$12+$P$13))*$P$16*$I$11</f>
        <v>0</v>
      </c>
      <c r="AC28" s="284">
        <f>$P$11*(1-($P$12+$P$13))*$P$16*$I$11</f>
        <v>0</v>
      </c>
      <c r="AD28" s="284">
        <f>$P$11*(1-($P$12+$P$13))*$P$16*$I$11</f>
        <v>0</v>
      </c>
      <c r="AE28" s="284">
        <f>$P$11*(1-($P$12+$P$13))*$P$16*$I$11</f>
        <v>0</v>
      </c>
      <c r="AI28" s="325" t="s">
        <v>26</v>
      </c>
      <c r="AJ28" s="325" t="s">
        <v>24</v>
      </c>
      <c r="AK28" s="381">
        <f>IF(AK20&lt;=0,0,IF(AK22/AK20&lt;=0,0,IF(AK22/AK20&gt;1,1,AK22/AK20)))</f>
        <v>0.1685019327623149</v>
      </c>
      <c r="AL28" s="381">
        <f>IF(AL20&lt;=0,0,IF(AL22/AL20&lt;=0,0,IF(AL22/AL20&gt;1,1,AL22/AL20)))</f>
        <v>0.17416522713910293</v>
      </c>
      <c r="AM28" s="381">
        <f>IF(AM20&lt;=0,0,IF(AM22/AM20&lt;=0,0,IF(AM22/AM20&gt;1,1,AM22/AM20)))</f>
        <v>0.1854097850590352</v>
      </c>
      <c r="AN28" s="381">
        <f>IF(AN20&lt;=0,0,IF(AN22/AN20&lt;=0,0,IF(AN22/AN20&gt;1,1,AN22/AN20)))</f>
        <v>0.19629867647401486</v>
      </c>
      <c r="AP28" s="325">
        <f>$AS$41</f>
        <v>2023</v>
      </c>
      <c r="AQ28" s="326">
        <f>($AL$20-$AL$22)</f>
        <v>66.3919508125151</v>
      </c>
      <c r="AR28" s="326">
        <f aca="true" t="shared" si="20" ref="AR28:BB28">(AQ28-$AL$23*(1/12))*(1-$W$48)^(1/12)</f>
        <v>66.20236901712117</v>
      </c>
      <c r="AS28" s="326">
        <f t="shared" si="20"/>
        <v>66.01326782079487</v>
      </c>
      <c r="AT28" s="326">
        <f t="shared" si="20"/>
        <v>65.82464600519418</v>
      </c>
      <c r="AU28" s="326">
        <f t="shared" si="20"/>
        <v>65.63650235506567</v>
      </c>
      <c r="AV28" s="326">
        <f t="shared" si="20"/>
        <v>65.44883565823662</v>
      </c>
      <c r="AW28" s="326">
        <f t="shared" si="20"/>
        <v>65.26164470560722</v>
      </c>
      <c r="AX28" s="326">
        <f t="shared" si="20"/>
        <v>65.07492829114283</v>
      </c>
      <c r="AY28" s="326">
        <f t="shared" si="20"/>
        <v>64.88868521186609</v>
      </c>
      <c r="AZ28" s="326">
        <f t="shared" si="20"/>
        <v>64.70291426784931</v>
      </c>
      <c r="BA28" s="326">
        <f t="shared" si="20"/>
        <v>64.51761426220665</v>
      </c>
      <c r="BB28" s="326">
        <f t="shared" si="20"/>
        <v>64.33278400108644</v>
      </c>
    </row>
    <row r="29" spans="3:54" ht="15" thickBot="1">
      <c r="C29" s="300" t="s">
        <v>175</v>
      </c>
      <c r="D29" s="302"/>
      <c r="E29" s="302"/>
      <c r="F29" s="302"/>
      <c r="G29" s="302"/>
      <c r="H29" s="302"/>
      <c r="I29" s="304"/>
      <c r="K29" s="338" t="s">
        <v>219</v>
      </c>
      <c r="L29" s="280"/>
      <c r="M29" s="282">
        <f>IF(Kod!$I$10='Back Office'!$B$1,'Back Office'!B35,IF(Kod!$I$10='Back Office'!$C$1,'Back Office'!C35,IF(Kod!$I$10='Back Office'!$D$1,'Back Office'!D35,IF(Kod!$I$10='Back Office'!$E$1,'Back Office'!E35,IF(Kod!$I$10='Back Office'!$F$1,'Back Office'!F35,IF(Kod!$I$10='Back Office'!$G$1,'Back Office'!G35,IF(Kod!$I$10='Back Office'!$H$1,'Back Office'!H35,IF(Kod!$I$10='Back Office'!$I$1,'Back Office'!I35,""))))))))</f>
        <v>0.11771833333333334</v>
      </c>
      <c r="N29" s="349"/>
      <c r="O29" s="282">
        <f>IF(Kod!$E$10='Back Office'!$B$1,'Back Office'!B35,IF(Kod!$E$10='Back Office'!$C$1,'Back Office'!C35,IF(Kod!$E$10='Back Office'!$D$1,'Back Office'!D35,IF(Kod!$E$10='Back Office'!$E$1,'Back Office'!E35,IF(Kod!$E$10='Back Office'!$F$1,'Back Office'!F35,IF(Kod!$E$10='Back Office'!$G$1,'Back Office'!G35,IF(Kod!$E$10='Back Office'!$H$1,'Back Office'!H35,IF(Kod!$E$10='Back Office'!$I$1,'Back Office'!I35,""))))))))</f>
        <v>0.11771833333333334</v>
      </c>
      <c r="P29" s="345">
        <f>IF(L29&lt;&gt;"",L29,M29)</f>
        <v>0.11771833333333334</v>
      </c>
      <c r="R29" s="300" t="s">
        <v>11</v>
      </c>
      <c r="S29" s="280"/>
      <c r="T29" s="172">
        <f>IF($I$8&lt;&gt;1,0,P3*$M$4*$M$5*(1-$M$6-$M$7)*I4/100000)</f>
        <v>0.13727250000000013</v>
      </c>
      <c r="U29" s="280"/>
      <c r="V29" s="302">
        <f>AB19</f>
        <v>0.09027682951849686</v>
      </c>
      <c r="W29" s="280"/>
      <c r="AA29" s="323" t="s">
        <v>132</v>
      </c>
      <c r="AB29" s="324">
        <f>$P$11*$P$13*(1-0.52)*$I$11</f>
        <v>0</v>
      </c>
      <c r="AC29" s="324">
        <f>$P$11*$P$13*(1-0.52)*$I$11</f>
        <v>0</v>
      </c>
      <c r="AD29" s="324">
        <f>$P$11*$P$13*(1-0.52)*$I$11</f>
        <v>0</v>
      </c>
      <c r="AE29" s="324">
        <f>$P$11*$P$13*(1-0.52)*$I$11</f>
        <v>0</v>
      </c>
      <c r="AI29" s="325"/>
      <c r="AJ29" s="325" t="s">
        <v>64</v>
      </c>
      <c r="AK29" s="382">
        <f>IF(AK20&lt;=0,0,IF(AK23/AK20&lt;=0,0,IF(AK23/AK20&gt;1,1,AK23/AK20)))</f>
        <v>0.0032055195025472295</v>
      </c>
      <c r="AL29" s="382">
        <f>IF(AL20&lt;=0,0,IF(AL23/AL20&lt;=0,0,IF(AL23/AL20&gt;1,1,AL23/AL20)))</f>
        <v>0.0031836868594073984</v>
      </c>
      <c r="AM29" s="382">
        <f>IF(AM20&lt;=0,0,IF(AM23/AM20&lt;=0,0,IF(AM23/AM20&gt;1,1,AM23/AM20)))</f>
        <v>0.0031403378113096575</v>
      </c>
      <c r="AN29" s="382">
        <f>IF(AN20&lt;=0,0,IF(AN23/AN20&lt;=0,0,IF(AN23/AN20&gt;1,1,AN23/AN20)))</f>
        <v>0.003098359897990156</v>
      </c>
      <c r="AP29" s="325">
        <f>$AT$41</f>
        <v>2024</v>
      </c>
      <c r="AQ29" s="326">
        <f>($AM$20-$AM$22)</f>
        <v>62.72250876871174</v>
      </c>
      <c r="AR29" s="326">
        <f aca="true" t="shared" si="21" ref="AR29:BB29">(AQ29-$AM$23*(1/12))*(1-$W$49)^(1/12)</f>
        <v>62.543405041852395</v>
      </c>
      <c r="AS29" s="326">
        <f t="shared" si="21"/>
        <v>62.36475535164756</v>
      </c>
      <c r="AT29" s="326">
        <f t="shared" si="21"/>
        <v>62.18655854709224</v>
      </c>
      <c r="AU29" s="326">
        <f t="shared" si="21"/>
        <v>62.0088134800993</v>
      </c>
      <c r="AV29" s="326">
        <f t="shared" si="21"/>
        <v>61.831519005492055</v>
      </c>
      <c r="AW29" s="326">
        <f t="shared" si="21"/>
        <v>61.654673980996904</v>
      </c>
      <c r="AX29" s="326">
        <f t="shared" si="21"/>
        <v>61.47827726723596</v>
      </c>
      <c r="AY29" s="326">
        <f t="shared" si="21"/>
        <v>61.30232772771972</v>
      </c>
      <c r="AZ29" s="326">
        <f t="shared" si="21"/>
        <v>61.12682422883974</v>
      </c>
      <c r="BA29" s="326">
        <f t="shared" si="21"/>
        <v>60.951765639861314</v>
      </c>
      <c r="BB29" s="326">
        <f t="shared" si="21"/>
        <v>60.77715083291622</v>
      </c>
    </row>
    <row r="30" spans="3:54" ht="15.75" thickBot="1" thickTop="1">
      <c r="C30" s="300" t="s">
        <v>10</v>
      </c>
      <c r="D30" s="302"/>
      <c r="E30" s="302"/>
      <c r="F30" s="371">
        <f>IF(AND($S$42&lt;&gt;"",$S$43&lt;&gt;"",$S$44&lt;&gt;""),$F$62+$I$43+$U$6*((IF($I$49&lt;9,12+$I$49-$I$5,$I$49-$I$5))/(IF($I$5=10,8,9)))+$S$44*((IF($I$49&lt;9,12+$I$49-$I$5,$I$49-$I$5))/(IF($I$5=10,8,9))),HLOOKUP($I$6,Z2:AG9,8,FALSE))</f>
        <v>61.122768033932445</v>
      </c>
      <c r="G30" s="304">
        <f>IF(AND($S$42&lt;&gt;"",$S$43&lt;&gt;"",$S$44&lt;&gt;""),$F$62+$I$43+$U$6*((IF($I$51&lt;9,12+$I$51-$I$5,$I$51-$I$5))/(IF($I$5=10,8,9)))+$S$44*((IF($I$51&lt;9,12+$I$51-$I$5,$I$51-$I$5))/(IF($I$5=10,8,9))),HLOOKUP($I$6,Z2:AG9,8,FALSE))</f>
        <v>61.122768033932445</v>
      </c>
      <c r="H30" s="372">
        <f>H21-H23</f>
        <v>57.32871927128684</v>
      </c>
      <c r="I30" s="304">
        <f>H30</f>
        <v>57.32871927128684</v>
      </c>
      <c r="J30" s="284"/>
      <c r="K30" s="338" t="s">
        <v>221</v>
      </c>
      <c r="L30" s="280"/>
      <c r="M30" s="282">
        <f>IF(Kod!$I$10='Back Office'!$B$1,'Back Office'!B36,IF(Kod!$I$10='Back Office'!$C$1,'Back Office'!C36,IF(Kod!$I$10='Back Office'!$D$1,'Back Office'!D36,IF(Kod!$I$10='Back Office'!$E$1,'Back Office'!E36,IF(Kod!$I$10='Back Office'!$F$1,'Back Office'!F36,IF(Kod!$I$10='Back Office'!$G$1,'Back Office'!G36,IF(Kod!$I$10='Back Office'!$H$1,'Back Office'!H36,IF(Kod!$I$10='Back Office'!$I$1,'Back Office'!I36,""))))))))</f>
        <v>0.06094833333333337</v>
      </c>
      <c r="N30" s="349"/>
      <c r="O30" s="282">
        <f>IF(Kod!$E$10='Back Office'!$B$1,'Back Office'!B36,IF(Kod!$E$10='Back Office'!$C$1,'Back Office'!C36,IF(Kod!$E$10='Back Office'!$D$1,'Back Office'!D36,IF(Kod!$E$10='Back Office'!$E$1,'Back Office'!E36,IF(Kod!$E$10='Back Office'!$F$1,'Back Office'!F36,IF(Kod!$E$10='Back Office'!$G$1,'Back Office'!G36,IF(Kod!$E$10='Back Office'!$H$1,'Back Office'!H36,IF(Kod!$E$10='Back Office'!$I$1,'Back Office'!I36,""))))))))</f>
        <v>0.06094833333333337</v>
      </c>
      <c r="P30" s="345">
        <f>IF(L30&lt;&gt;"",L30,M30)</f>
        <v>0.06094833333333337</v>
      </c>
      <c r="R30" s="300" t="s">
        <v>9</v>
      </c>
      <c r="S30" s="280"/>
      <c r="T30" s="172">
        <f>IF($I$8&lt;&gt;1,0,P3*$M$4*$M$5*$M$7*I4/100000)</f>
        <v>0.3203025000000002</v>
      </c>
      <c r="U30" s="280"/>
      <c r="V30" s="302">
        <f>AB26</f>
        <v>0.2663309096813988</v>
      </c>
      <c r="W30" s="280"/>
      <c r="AA30" s="278" t="s">
        <v>171</v>
      </c>
      <c r="AB30" s="284">
        <f>SUM(AB27:AB29)</f>
        <v>0</v>
      </c>
      <c r="AC30" s="284">
        <f>SUM(AC27:AC29)</f>
        <v>0</v>
      </c>
      <c r="AD30" s="284">
        <f>SUM(AD27:AD29)</f>
        <v>0</v>
      </c>
      <c r="AE30" s="284">
        <f>SUM(AE27:AE29)</f>
        <v>0</v>
      </c>
      <c r="AI30" s="325"/>
      <c r="AJ30" s="363" t="s">
        <v>25</v>
      </c>
      <c r="AK30" s="383">
        <f>IF(AK20&lt;=0,0,IF(AK24/AK20&lt;=0,0,IF(AK24/AK20&gt;1,1,AK24/AK20)))</f>
        <v>0.024848776432054135</v>
      </c>
      <c r="AL30" s="383">
        <f>IF(AL20&lt;=0,0,IF(AL24/AL20&lt;=0,0,IF(AL24/AL20&gt;1,1,AL24/AL20)))</f>
        <v>0.02467953258004469</v>
      </c>
      <c r="AM30" s="383">
        <f>IF(AM20&lt;=0,0,IF(AM24/AM20&lt;=0,0,IF(AM24/AM20&gt;1,1,AM24/AM20)))</f>
        <v>0.024343496313889657</v>
      </c>
      <c r="AN30" s="383">
        <f>IF(AN20&lt;=0,0,IF(AN24/AN20&lt;=0,0,IF(AN24/AN20&gt;1,1,AN24/AN20)))</f>
        <v>0.02401808890883985</v>
      </c>
      <c r="AP30" s="325">
        <f>$AU$41</f>
        <v>2025</v>
      </c>
      <c r="AQ30" s="326">
        <f>($AN$20-$AN$22-$AN$23*(1/12))*(1-$W$48)^(1/12)</f>
        <v>58.28439534920951</v>
      </c>
      <c r="AR30" s="326">
        <f aca="true" t="shared" si="22" ref="AR30:BB30">(AQ30-$AN$23*(1/12))*(1-$W$49)^(1/12)</f>
        <v>58.117911142506266</v>
      </c>
      <c r="AS30" s="326">
        <f t="shared" si="22"/>
        <v>57.95184898136045</v>
      </c>
      <c r="AT30" s="326">
        <f>(AS30-$AN$23*(1/12))*(1-$W$49)^(1/12)</f>
        <v>57.786207795866055</v>
      </c>
      <c r="AU30" s="326">
        <f t="shared" si="22"/>
        <v>57.62098651882934</v>
      </c>
      <c r="AV30" s="326">
        <f t="shared" si="22"/>
        <v>57.456184085761954</v>
      </c>
      <c r="AW30" s="326">
        <f t="shared" si="22"/>
        <v>57.29179943487407</v>
      </c>
      <c r="AX30" s="326">
        <f t="shared" si="22"/>
        <v>57.12783150706756</v>
      </c>
      <c r="AY30" s="326">
        <f t="shared" si="22"/>
        <v>56.96427924592915</v>
      </c>
      <c r="AZ30" s="326">
        <f t="shared" si="22"/>
        <v>56.80114159772363</v>
      </c>
      <c r="BA30" s="326">
        <f t="shared" si="22"/>
        <v>56.638417511387054</v>
      </c>
      <c r="BB30" s="326">
        <f t="shared" si="22"/>
        <v>56.476105938519986</v>
      </c>
    </row>
    <row r="31" spans="3:41" ht="15" thickTop="1">
      <c r="C31" s="295" t="s">
        <v>42</v>
      </c>
      <c r="D31" s="384">
        <f>IF(OR('3 Förutsättningar'!G42="ORIMLIGT VÄRDE",'3 Förutsättningar'!F42=""),"",'3 Förutsättningar'!F42)</f>
        <v>0.52</v>
      </c>
      <c r="E31" s="385">
        <f>IF(Kod!$I$10='Back Office'!$B$1,'Back Office'!B2,IF(Kod!$I$10='Back Office'!$C$1,'Back Office'!C2,IF(Kod!$I$10='Back Office'!$D$1,'Back Office'!D2,IF(Kod!$I$10='Back Office'!$E$1,'Back Office'!E2,IF(Kod!$I$10='Back Office'!$F$1,'Back Office'!F2,IF(Kod!$I$10='Back Office'!$G$1,'Back Office'!G2,IF(Kod!$I$10='Back Office'!$H$1,'Back Office'!H2,IF(Kod!$I$10='Back Office'!$I$1,'Back Office'!I2,""))))))))</f>
        <v>0.52</v>
      </c>
      <c r="F31" s="386"/>
      <c r="G31" s="386"/>
      <c r="H31" s="386"/>
      <c r="I31" s="312">
        <f>IF(D31&lt;&gt;"",D31,E31)</f>
        <v>0.52</v>
      </c>
      <c r="K31" s="387" t="s">
        <v>75</v>
      </c>
      <c r="L31" s="348"/>
      <c r="M31" s="282">
        <f>IF(Kod!$I$10='Back Office'!$B$1,'Back Office'!B37,IF(Kod!$I$10='Back Office'!$C$1,'Back Office'!C37,IF(Kod!$I$10='Back Office'!$D$1,'Back Office'!D37,IF(Kod!$I$10='Back Office'!$E$1,'Back Office'!E37,IF(Kod!$I$10='Back Office'!$F$1,'Back Office'!F37,IF(Kod!$I$10='Back Office'!$G$1,'Back Office'!G37,IF(Kod!$I$10='Back Office'!$H$1,'Back Office'!H37,IF(Kod!$I$10='Back Office'!$I$1,'Back Office'!I37,""))))))))</f>
        <v>0.5570211038961038</v>
      </c>
      <c r="N31" s="349"/>
      <c r="O31" s="282">
        <f>IF(Kod!$E$10='Back Office'!$B$1,'Back Office'!B37,IF(Kod!$E$10='Back Office'!$C$1,'Back Office'!C37,IF(Kod!$E$10='Back Office'!$D$1,'Back Office'!D37,IF(Kod!$E$10='Back Office'!$E$1,'Back Office'!E37,IF(Kod!$E$10='Back Office'!$F$1,'Back Office'!F37,IF(Kod!$E$10='Back Office'!$G$1,'Back Office'!G37,IF(Kod!$E$10='Back Office'!$H$1,'Back Office'!H37,IF(Kod!$E$10='Back Office'!$I$1,'Back Office'!I37,""))))))))</f>
        <v>0.5570211038961038</v>
      </c>
      <c r="P31" s="345">
        <f>IF(L31&lt;&gt;"",L31,M31)</f>
        <v>0.5570211038961038</v>
      </c>
      <c r="R31" s="300" t="s">
        <v>10</v>
      </c>
      <c r="S31" s="280"/>
      <c r="T31" s="280"/>
      <c r="U31" s="280"/>
      <c r="W31" s="280"/>
      <c r="Z31" s="278" t="s">
        <v>170</v>
      </c>
      <c r="AA31" s="278" t="s">
        <v>13</v>
      </c>
      <c r="AB31" s="284">
        <f>SUM(AB26,AB30)</f>
        <v>0.2663309096813988</v>
      </c>
      <c r="AC31" s="284">
        <f>SUM(AC26,AC30)</f>
        <v>0.2559485121218429</v>
      </c>
      <c r="AD31" s="284">
        <f>SUM(AD26,AD30)</f>
        <v>0.24180239621569954</v>
      </c>
      <c r="AE31" s="284">
        <f>SUM(AE26,AE30)</f>
        <v>0.22533641153677458</v>
      </c>
      <c r="AH31" s="277">
        <f>IF(AH32=4,"apr",IF(AH32=3,"mar",IF(AH32=2,"feb",IF(AH32=1,"jan",IF(AH32=12,"dec",IF(AH32=11,"nov",IF(AH32=10,"okt",IF(AH32=9,"sep",""))))))))</f>
      </c>
      <c r="AI31" s="325"/>
      <c r="AJ31" s="325" t="s">
        <v>13</v>
      </c>
      <c r="AK31" s="381">
        <f>IF(AK20&lt;=0,0,IF(AK27/AK20&lt;=0,0,IF(AK27/AK20&gt;1,1,AK27/AK20)))</f>
        <v>0.19655622869691622</v>
      </c>
      <c r="AL31" s="381">
        <f>IF(AL20&lt;=0,0,IF(AL27/AL20&lt;=0,0,IF(AL27/AL20&gt;1,1,AL27/AL20)))</f>
        <v>0.20202844657855504</v>
      </c>
      <c r="AM31" s="381">
        <f>IF(AM20&lt;=0,0,IF(AM27/AM20&lt;=0,0,IF(AM27/AM20&gt;1,1,AM27/AM20)))</f>
        <v>0.2128936191842345</v>
      </c>
      <c r="AN31" s="381">
        <f>IF(AN20&lt;=0,0,IF(AN27/AN20&lt;=0,0,IF(AN27/AN20&gt;1,1,AN27/AN20)))</f>
        <v>0.22341512528084484</v>
      </c>
      <c r="AO31" s="294"/>
    </row>
    <row r="32" spans="3:54" ht="14.25">
      <c r="C32" s="295" t="s">
        <v>59</v>
      </c>
      <c r="D32" s="384">
        <f>IF(OR('3 Förutsättningar'!G37="ORIMLIGT VÄRDE",'3 Förutsättningar'!F37=""),"",'3 Förutsättningar'!F37)</f>
        <v>0.36</v>
      </c>
      <c r="E32" s="386">
        <f>IF(Kod!$I$10='Back Office'!$B$1,'Back Office'!B3,IF(Kod!$I$10='Back Office'!$C$1,'Back Office'!C3,IF(Kod!$I$10='Back Office'!$D$1,'Back Office'!D3,IF(Kod!$I$10='Back Office'!$E$1,'Back Office'!E3,IF(Kod!$I$10='Back Office'!$F$1,'Back Office'!F3,IF(Kod!$I$10='Back Office'!$G$1,'Back Office'!G3,IF(Kod!$I$10='Back Office'!$H$1,'Back Office'!H3,IF(Kod!$I$10='Back Office'!$I$1,'Back Office'!I3,""))))))))</f>
        <v>0.35</v>
      </c>
      <c r="F32" s="386">
        <f>IF(F21&gt;0,$F$24/SUM($F$24:$F$27),)</f>
        <v>0.3555439087024789</v>
      </c>
      <c r="G32" s="386">
        <f>IF(F21&gt;0,$G$24/SUM($G$24:$G$27),)</f>
        <v>0.3555439087024789</v>
      </c>
      <c r="H32" s="386">
        <f>IF(AND(D32&lt;&gt;"",D64&lt;&gt;"",D51&lt;&gt;""),AVERAGE(D32,G32),IF(D32&lt;&gt;"",D32,IF(AND(D64&lt;&gt;"",D51&lt;&gt;""),G32,E32)))</f>
        <v>0.36</v>
      </c>
      <c r="I32" s="388">
        <f>I24/SUM(I24:I27)</f>
        <v>0.36</v>
      </c>
      <c r="K32" s="279" t="s">
        <v>224</v>
      </c>
      <c r="L32" s="280"/>
      <c r="M32" s="280"/>
      <c r="N32" s="280"/>
      <c r="O32" s="282"/>
      <c r="P32" s="280"/>
      <c r="R32" s="300" t="s">
        <v>186</v>
      </c>
      <c r="S32" s="280"/>
      <c r="T32" s="172">
        <f>IF($I$8&lt;&gt;1,0,IF(M19&lt;&gt;"",P3*$M$4*$M$5*$M$6*(1-$M$8)*I4/100000,""))</f>
        <v>0.3111510000000003</v>
      </c>
      <c r="U32" s="280"/>
      <c r="V32" s="302">
        <f>AB33</f>
        <v>0.16460879381107366</v>
      </c>
      <c r="W32" s="280"/>
      <c r="Y32" s="306"/>
      <c r="Z32" s="306"/>
      <c r="AA32" s="306"/>
      <c r="AB32" s="305">
        <f>AB12</f>
        <v>2022</v>
      </c>
      <c r="AC32" s="305">
        <f>AC12</f>
        <v>2023</v>
      </c>
      <c r="AD32" s="305">
        <f>AD12</f>
        <v>2024</v>
      </c>
      <c r="AE32" s="305">
        <f>AE12</f>
        <v>2025</v>
      </c>
      <c r="AH32" s="277">
        <f>IF(AH33=4,"apr",IF(AH33=3,"mar",IF(AH33=2,"feb",IF(AH33=1,"jan",IF(AH33=12,"dec",IF(AH33=11,"nov",IF(AH33=10,"okt",IF(AH33=9,"sep",""))))))))</f>
      </c>
      <c r="AI32" s="292"/>
      <c r="AJ32" s="293"/>
      <c r="AK32" s="293">
        <f>AK2</f>
        <v>2022</v>
      </c>
      <c r="AL32" s="293">
        <f>AL2</f>
        <v>2023</v>
      </c>
      <c r="AM32" s="293">
        <f>AM2</f>
        <v>2024</v>
      </c>
      <c r="AN32" s="293">
        <f>AN2</f>
        <v>2025</v>
      </c>
      <c r="AO32" s="294"/>
      <c r="AP32" s="283" t="s">
        <v>233</v>
      </c>
      <c r="AQ32" s="278"/>
      <c r="AR32" s="278"/>
      <c r="AS32" s="278"/>
      <c r="AT32" s="278"/>
      <c r="AU32" s="278"/>
      <c r="AV32" s="278"/>
      <c r="AW32" s="278"/>
      <c r="AX32" s="278"/>
      <c r="AY32" s="278"/>
      <c r="AZ32" s="278"/>
      <c r="BA32" s="278"/>
      <c r="BB32" s="278"/>
    </row>
    <row r="33" spans="3:54" ht="14.25">
      <c r="C33" s="300" t="s">
        <v>196</v>
      </c>
      <c r="D33" s="389">
        <f>IF(D32&lt;&gt;"",1-D32,"")</f>
        <v>0.64</v>
      </c>
      <c r="E33" s="385"/>
      <c r="F33" s="385"/>
      <c r="G33" s="385"/>
      <c r="H33" s="385">
        <f>IF(H32&lt;&gt;"",1-H32,"")</f>
        <v>0.64</v>
      </c>
      <c r="I33" s="280"/>
      <c r="K33" s="280"/>
      <c r="L33" s="287" t="s">
        <v>127</v>
      </c>
      <c r="M33" s="288" t="s">
        <v>161</v>
      </c>
      <c r="N33" s="280"/>
      <c r="P33" s="289" t="s">
        <v>197</v>
      </c>
      <c r="R33" s="300" t="s">
        <v>167</v>
      </c>
      <c r="S33" s="332"/>
      <c r="T33" s="332">
        <f>T29/$I$24</f>
        <v>0.002937229405093955</v>
      </c>
      <c r="U33" s="280"/>
      <c r="V33" s="332">
        <f>V29/$I$24</f>
        <v>0.0019316597152407267</v>
      </c>
      <c r="W33" s="280"/>
      <c r="Y33" s="278" t="s">
        <v>16</v>
      </c>
      <c r="Z33" s="278" t="s">
        <v>133</v>
      </c>
      <c r="AA33" s="278" t="s">
        <v>130</v>
      </c>
      <c r="AB33" s="284">
        <f>IF($T$36&gt;0,AK35*$T$36*(1-AK53^2/(AK53+$T$23)),0)</f>
        <v>0.16460879381107366</v>
      </c>
      <c r="AC33" s="284">
        <f>IF($T$36&gt;0,AL35*$T$36*(1-AL53^2/(AL53+$T$23)),0)</f>
        <v>0.15504314459411983</v>
      </c>
      <c r="AD33" s="284">
        <f>IF($T$36&gt;0,AM35*$T$36*(1-AM53^2/(AM53+$T$23)),0)</f>
        <v>0.14628661392032463</v>
      </c>
      <c r="AE33" s="284">
        <f>IF($T$36&gt;0,AN35*$T$36*(1-AN53^2/(AN53+$T$23)),0)</f>
        <v>0.13029523345217683</v>
      </c>
      <c r="AI33" s="336" t="s">
        <v>18</v>
      </c>
      <c r="AJ33" s="336" t="s">
        <v>27</v>
      </c>
      <c r="AK33" s="337">
        <f>AK$35*(1-$I$31)</f>
        <v>27.517785250217685</v>
      </c>
      <c r="AL33" s="337">
        <f>AL$35*(1-$I$31)</f>
        <v>26.626408613105003</v>
      </c>
      <c r="AM33" s="337">
        <f>AM$35*(1-$I$31)</f>
        <v>25.588429355890206</v>
      </c>
      <c r="AN33" s="337">
        <f>AN$35*(1-$I$31)</f>
        <v>24.174172697299955</v>
      </c>
      <c r="AO33" s="390"/>
      <c r="AP33" s="278"/>
      <c r="AQ33" s="277" t="str">
        <f aca="true" t="shared" si="23" ref="AQ33:AY33">IF(AQ34=4,"apr",IF(AQ34=3,"mar",IF(AQ34=2,"feb",IF(AQ34=1,"jan",IF(AQ34=12,"dec",IF(AQ34=11,"nov",IF(AQ34=10,"okt",IF(AQ34=9,"sep",""))))))))</f>
        <v>sep</v>
      </c>
      <c r="AR33" s="277" t="str">
        <f t="shared" si="23"/>
        <v>okt</v>
      </c>
      <c r="AS33" s="277" t="str">
        <f t="shared" si="23"/>
        <v>nov</v>
      </c>
      <c r="AT33" s="277" t="str">
        <f t="shared" si="23"/>
        <v>dec</v>
      </c>
      <c r="AU33" s="277" t="str">
        <f t="shared" si="23"/>
        <v>jan</v>
      </c>
      <c r="AV33" s="277" t="str">
        <f t="shared" si="23"/>
        <v>feb</v>
      </c>
      <c r="AW33" s="277" t="str">
        <f t="shared" si="23"/>
        <v>mar</v>
      </c>
      <c r="AX33" s="277" t="str">
        <f t="shared" si="23"/>
        <v>apr</v>
      </c>
      <c r="AY33" s="277">
        <f t="shared" si="23"/>
      </c>
      <c r="AZ33" s="277"/>
      <c r="BA33" s="277"/>
      <c r="BB33" s="277"/>
    </row>
    <row r="34" spans="3:54" ht="15" thickBot="1">
      <c r="C34" s="300" t="s">
        <v>85</v>
      </c>
      <c r="D34" s="391">
        <f>IF(AND(D33&lt;&gt;"",D35&lt;&gt;""),D35*D33,"")</f>
        <v>0.4416</v>
      </c>
      <c r="E34" s="391"/>
      <c r="F34" s="391"/>
      <c r="G34" s="391"/>
      <c r="H34" s="391">
        <f>IF(H35&lt;&gt;"",H35*H33,"")</f>
        <v>0.4416</v>
      </c>
      <c r="I34" s="280"/>
      <c r="K34" s="338" t="s">
        <v>207</v>
      </c>
      <c r="L34" s="280"/>
      <c r="M34" s="282">
        <f>IF(Kod!$I$10='Back Office'!$B$1,'Back Office'!B39,IF(Kod!$I$10='Back Office'!$C$1,'Back Office'!C39,IF(Kod!$I$10='Back Office'!$D$1,'Back Office'!D39,IF(Kod!$I$10='Back Office'!$E$1,'Back Office'!E39,IF(Kod!$I$10='Back Office'!$F$1,'Back Office'!F39,IF(Kod!$I$10='Back Office'!$G$1,'Back Office'!G39,IF(Kod!$I$10='Back Office'!$H$1,'Back Office'!H39,IF(Kod!$I$10='Back Office'!$I$1,'Back Office'!I39,""))))))))</f>
        <v>6</v>
      </c>
      <c r="N34" s="280"/>
      <c r="O34" s="282">
        <f>IF(Kod!$E$10='Back Office'!$B$1,'Back Office'!B39,IF(Kod!$E$10='Back Office'!$C$1,'Back Office'!C39,IF(Kod!$E$10='Back Office'!$D$1,'Back Office'!D39,IF(Kod!$E$10='Back Office'!$E$1,'Back Office'!E39,IF(Kod!$E$10='Back Office'!$F$1,'Back Office'!F39,IF(Kod!$E$10='Back Office'!$G$1,'Back Office'!G39,IF(Kod!$E$10='Back Office'!$H$1,'Back Office'!H39,IF(Kod!$E$10='Back Office'!$I$1,'Back Office'!I39,""))))))))</f>
        <v>6</v>
      </c>
      <c r="P34" s="318">
        <f>IF(L34&lt;&gt;"",L34,M34)</f>
        <v>6</v>
      </c>
      <c r="R34" s="300" t="s">
        <v>168</v>
      </c>
      <c r="S34" s="332"/>
      <c r="T34" s="332">
        <f>T30/$I$27</f>
        <v>0.003855113594185814</v>
      </c>
      <c r="U34" s="280"/>
      <c r="V34" s="332">
        <f>V30/$I$27</f>
        <v>0.0032055195025472295</v>
      </c>
      <c r="W34" s="280"/>
      <c r="AA34" s="323" t="s">
        <v>129</v>
      </c>
      <c r="AB34" s="324"/>
      <c r="AC34" s="324"/>
      <c r="AD34" s="324"/>
      <c r="AE34" s="324"/>
      <c r="AI34" s="336"/>
      <c r="AJ34" s="392" t="s">
        <v>17</v>
      </c>
      <c r="AK34" s="393">
        <f>AK$35*$I$31</f>
        <v>29.81093402106916</v>
      </c>
      <c r="AL34" s="393">
        <f>AL$35*$I$31</f>
        <v>28.84527599753042</v>
      </c>
      <c r="AM34" s="393">
        <f>AM$35*$I$31</f>
        <v>27.720798468881057</v>
      </c>
      <c r="AN34" s="393">
        <f>AN$35*$I$31</f>
        <v>26.18868708874162</v>
      </c>
      <c r="AP34" s="292"/>
      <c r="AQ34" s="305">
        <f>$D$5</f>
        <v>9</v>
      </c>
      <c r="AR34" s="306">
        <f aca="true" t="shared" si="24" ref="AR34:AX34">IF(AQ$18=12,1,AQ$18+1)</f>
        <v>10</v>
      </c>
      <c r="AS34" s="306">
        <f t="shared" si="24"/>
        <v>11</v>
      </c>
      <c r="AT34" s="306">
        <f t="shared" si="24"/>
        <v>12</v>
      </c>
      <c r="AU34" s="306">
        <f t="shared" si="24"/>
        <v>1</v>
      </c>
      <c r="AV34" s="306">
        <f t="shared" si="24"/>
        <v>2</v>
      </c>
      <c r="AW34" s="306">
        <f t="shared" si="24"/>
        <v>3</v>
      </c>
      <c r="AX34" s="306">
        <f t="shared" si="24"/>
        <v>4</v>
      </c>
      <c r="AY34" s="277">
        <f>IF(AY35=4,"apr",IF(AY35=3,"mar",IF(AY35=2,"feb",IF(AY35=1,"jan",IF(AY35=12,"dec",IF(AY35=11,"nov",IF(AY35=10,"okt",IF(AY35=9,"sep",""))))))))</f>
      </c>
      <c r="AZ34" s="277"/>
      <c r="BA34" s="277"/>
      <c r="BB34" s="277"/>
    </row>
    <row r="35" spans="3:54" ht="15" thickTop="1">
      <c r="C35" s="295" t="s">
        <v>91</v>
      </c>
      <c r="D35" s="394">
        <f>IF(OR('3 Förutsättningar'!G38="ORIMLIGT VÄRDE",'3 Förutsättningar'!F38=""),"",'3 Förutsättningar'!F38)</f>
        <v>0.69</v>
      </c>
      <c r="E35" s="282">
        <f>IF(Kod!$I$10='Back Office'!$B$1,'Back Office'!B4,IF(Kod!$I$10='Back Office'!$C$1,'Back Office'!C4,IF(Kod!$I$10='Back Office'!$D$1,'Back Office'!D4,IF(Kod!$I$10='Back Office'!$E$1,'Back Office'!E4,IF(Kod!$I$10='Back Office'!$F$1,'Back Office'!F4,IF(Kod!$I$10='Back Office'!$G$1,'Back Office'!G4,IF(Kod!$I$10='Back Office'!$H$1,'Back Office'!H4,IF(Kod!$I$10='Back Office'!$I$1,'Back Office'!I4,""))))))))</f>
        <v>0.634</v>
      </c>
      <c r="F35" s="282">
        <f>IF(F21&gt;0,$F$30/$F$27,)</f>
        <v>0.7525720400204219</v>
      </c>
      <c r="G35" s="282">
        <f>IF(F21&gt;0,$G$30/$G$27,)</f>
        <v>0.7525720400204219</v>
      </c>
      <c r="H35" s="282">
        <f>IF(AND(D35&lt;&gt;"",D67&lt;&gt;"",D51&lt;&gt;""),AVERAGE(D35,G35),IF(D35&lt;&gt;"",D35,IF(AND(D67&lt;&gt;"",D51&lt;&gt;""),G35,E35)))</f>
        <v>0.69</v>
      </c>
      <c r="I35" s="395">
        <f>I30/I27</f>
        <v>0.6900000000000001</v>
      </c>
      <c r="K35" s="338" t="s">
        <v>209</v>
      </c>
      <c r="L35" s="280"/>
      <c r="M35" s="282">
        <f>IF(Kod!$I$10='Back Office'!$B$1,'Back Office'!B40,IF(Kod!$I$10='Back Office'!$C$1,'Back Office'!C40,IF(Kod!$I$10='Back Office'!$D$1,'Back Office'!D40,IF(Kod!$I$10='Back Office'!$E$1,'Back Office'!E40,IF(Kod!$I$10='Back Office'!$F$1,'Back Office'!F40,IF(Kod!$I$10='Back Office'!$G$1,'Back Office'!G40,IF(Kod!$I$10='Back Office'!$H$1,'Back Office'!H40,IF(Kod!$I$10='Back Office'!$I$1,'Back Office'!I40,""))))))))</f>
        <v>8</v>
      </c>
      <c r="N35" s="280"/>
      <c r="O35" s="282">
        <f>IF(Kod!$E$10='Back Office'!$B$1,'Back Office'!B40,IF(Kod!$E$10='Back Office'!$C$1,'Back Office'!C40,IF(Kod!$E$10='Back Office'!$D$1,'Back Office'!D40,IF(Kod!$E$10='Back Office'!$E$1,'Back Office'!E40,IF(Kod!$E$10='Back Office'!$F$1,'Back Office'!F40,IF(Kod!$E$10='Back Office'!$G$1,'Back Office'!G40,IF(Kod!$E$10='Back Office'!$H$1,'Back Office'!H40,IF(Kod!$E$10='Back Office'!$I$1,'Back Office'!I40,""))))))))</f>
        <v>8</v>
      </c>
      <c r="P35" s="318">
        <f>IF(L35&lt;&gt;"",L35,M35)</f>
        <v>8</v>
      </c>
      <c r="R35" s="300" t="s">
        <v>169</v>
      </c>
      <c r="S35" s="332"/>
      <c r="T35" s="332"/>
      <c r="U35" s="280"/>
      <c r="V35" s="332"/>
      <c r="W35" s="280"/>
      <c r="AA35" s="278" t="s">
        <v>171</v>
      </c>
      <c r="AB35" s="284"/>
      <c r="AC35" s="284"/>
      <c r="AD35" s="284"/>
      <c r="AE35" s="284"/>
      <c r="AI35" s="396"/>
      <c r="AJ35" s="396" t="s">
        <v>13</v>
      </c>
      <c r="AK35" s="397">
        <f>I30</f>
        <v>57.32871927128684</v>
      </c>
      <c r="AL35" s="398">
        <f>AL$18*$H$36</f>
        <v>55.47168461063542</v>
      </c>
      <c r="AM35" s="398">
        <f>AM$18*$H$36</f>
        <v>53.30922782477126</v>
      </c>
      <c r="AN35" s="398">
        <f>AN$18*$H$36</f>
        <v>50.362859786041575</v>
      </c>
      <c r="AP35" s="336" t="s">
        <v>232</v>
      </c>
      <c r="AQ35" s="399">
        <f>($I$30-$I$43)</f>
        <v>30.328719271286843</v>
      </c>
      <c r="AR35" s="399">
        <f>(AQ35-$W$6*(1/(IF($D$5=10,8,9))))*(1-$W$50)^(1/(IF($D$5=10,8,9)))</f>
        <v>30.138173871390418</v>
      </c>
      <c r="AS35" s="399">
        <f aca="true" t="shared" si="25" ref="AS35:AX35">(AR35-$W$6*(1/(IF($D$5=10,8,9))))*(1-$W$50)^(1/(IF($D$5=10,8,9)))</f>
        <v>29.94871134957387</v>
      </c>
      <c r="AT35" s="399">
        <f>(AS35-$W$6*(1/(IF($D$5=10,8,9))))*(1-$W$50)^(1/(IF($D$5=10,8,9)))</f>
        <v>29.760325551792352</v>
      </c>
      <c r="AU35" s="399">
        <f t="shared" si="25"/>
        <v>29.573010358974738</v>
      </c>
      <c r="AV35" s="399">
        <f t="shared" si="25"/>
        <v>29.38675968682485</v>
      </c>
      <c r="AW35" s="399">
        <f t="shared" si="25"/>
        <v>29.201567485623844</v>
      </c>
      <c r="AX35" s="399">
        <f t="shared" si="25"/>
        <v>29.0174277400337</v>
      </c>
      <c r="AY35" s="277">
        <f>IF(AY36=4,"apr",IF(AY36=3,"mar",IF(AY36=2,"feb",IF(AY36=1,"jan",IF(AY36=12,"dec",IF(AY36=11,"nov",IF(AY36=10,"okt",IF(AY36=9,"sep",""))))))))</f>
      </c>
      <c r="AZ35" s="277"/>
      <c r="BA35" s="277"/>
      <c r="BB35" s="277"/>
    </row>
    <row r="36" spans="3:54" ht="14.25">
      <c r="C36" s="338" t="s">
        <v>140</v>
      </c>
      <c r="D36" s="280"/>
      <c r="E36" s="280"/>
      <c r="F36" s="280"/>
      <c r="G36" s="280"/>
      <c r="H36" s="400">
        <f>AK35/(AK20*(AL18/AL20))</f>
        <v>0.8309841072648914</v>
      </c>
      <c r="I36" s="391">
        <f>H36</f>
        <v>0.8309841072648914</v>
      </c>
      <c r="K36" s="338" t="s">
        <v>208</v>
      </c>
      <c r="L36" s="280"/>
      <c r="M36" s="282">
        <f>IF(Kod!$I$10='Back Office'!$B$1,'Back Office'!B41,IF(Kod!$I$10='Back Office'!$C$1,'Back Office'!C41,IF(Kod!$I$10='Back Office'!$D$1,'Back Office'!D41,IF(Kod!$I$10='Back Office'!$E$1,'Back Office'!E41,IF(Kod!$I$10='Back Office'!$F$1,'Back Office'!F41,IF(Kod!$I$10='Back Office'!$G$1,'Back Office'!G41,IF(Kod!$I$10='Back Office'!$H$1,'Back Office'!H41,IF(Kod!$I$10='Back Office'!$I$1,'Back Office'!I41,""))))))))</f>
        <v>2.43</v>
      </c>
      <c r="N36" s="280"/>
      <c r="O36" s="282">
        <f>IF(Kod!$E$10='Back Office'!$B$1,'Back Office'!B41,IF(Kod!$E$10='Back Office'!$C$1,'Back Office'!C41,IF(Kod!$E$10='Back Office'!$D$1,'Back Office'!D41,IF(Kod!$E$10='Back Office'!$E$1,'Back Office'!E41,IF(Kod!$E$10='Back Office'!$F$1,'Back Office'!F41,IF(Kod!$E$10='Back Office'!$G$1,'Back Office'!G41,IF(Kod!$E$10='Back Office'!$H$1,'Back Office'!H41,IF(Kod!$E$10='Back Office'!$I$1,'Back Office'!I41,""))))))))</f>
        <v>2.43</v>
      </c>
      <c r="P36" s="318">
        <f>IF(L36&lt;&gt;"",L36,M36)</f>
        <v>2.43</v>
      </c>
      <c r="R36" s="300" t="s">
        <v>187</v>
      </c>
      <c r="S36" s="332"/>
      <c r="T36" s="332">
        <f>T32/$I$30</f>
        <v>0.0054274891181083935</v>
      </c>
      <c r="U36" s="280"/>
      <c r="V36" s="332">
        <f>V32/$I$30</f>
        <v>0.002871314690148994</v>
      </c>
      <c r="W36" s="280"/>
      <c r="Z36" s="278" t="s">
        <v>128</v>
      </c>
      <c r="AA36" s="278" t="s">
        <v>130</v>
      </c>
      <c r="AB36" s="284">
        <f>$P$34*$P$35*$P$36*AB$16/$I$4*100/($P$37+AB$16/$I$4*100)*$P$20*$I$11</f>
        <v>0</v>
      </c>
      <c r="AC36" s="284">
        <f>$P$34*$P$35*$P$36*AC$16/$I$4*100/($P$37+AC$16/$I$4*100)*$P$20*$I$11</f>
        <v>0</v>
      </c>
      <c r="AD36" s="284">
        <f>$P$34*$P$35*$P$36*AD$16/$I$4*100/($P$37+AD$16/$I$4*100)*$P$20*$I$11</f>
        <v>0</v>
      </c>
      <c r="AE36" s="284">
        <f>$P$34*$P$35*$P$36*AE$16/$I$4*100/($P$37+AE$16/$I$4*100)*$P$20*$I$11</f>
        <v>0</v>
      </c>
      <c r="AI36" s="401" t="s">
        <v>91</v>
      </c>
      <c r="AJ36" s="401" t="s">
        <v>37</v>
      </c>
      <c r="AK36" s="402">
        <f>AK35/AK20</f>
        <v>0.6900000000000001</v>
      </c>
      <c r="AL36" s="403">
        <f>AL35/AL20</f>
        <v>0.69</v>
      </c>
      <c r="AM36" s="403">
        <f>AM35/AM20</f>
        <v>0.6923379852717138</v>
      </c>
      <c r="AN36" s="403">
        <f>AN35/AN20</f>
        <v>0.6924857995429045</v>
      </c>
      <c r="AO36" s="404"/>
      <c r="AP36" s="336">
        <f>$AS$41</f>
        <v>2023</v>
      </c>
      <c r="AQ36" s="399">
        <f>($AL$35-$AL$39)</f>
        <v>28.56627461063542</v>
      </c>
      <c r="AR36" s="399">
        <f>(AQ36-$AL$42*(1/(IF($D$5=10,8,9))))*(1-$W$48)^(1/(IF($D$5=10,8,9)))</f>
        <v>28.452590757218303</v>
      </c>
      <c r="AS36" s="399">
        <f aca="true" t="shared" si="26" ref="AS36:AX36">(AR36-$AL$42*(1/(IF($D$5=10,8,9))))*(1-$W$48)^(1/(IF($D$5=10,8,9)))</f>
        <v>28.339291000150535</v>
      </c>
      <c r="AT36" s="399">
        <f t="shared" si="26"/>
        <v>28.2263740417104</v>
      </c>
      <c r="AU36" s="399">
        <f t="shared" si="26"/>
        <v>28.113838588560707</v>
      </c>
      <c r="AV36" s="399">
        <f t="shared" si="26"/>
        <v>28.001683351733984</v>
      </c>
      <c r="AW36" s="399">
        <f t="shared" si="26"/>
        <v>27.88990704661771</v>
      </c>
      <c r="AX36" s="399">
        <f t="shared" si="26"/>
        <v>27.778508392939603</v>
      </c>
      <c r="AY36" s="277">
        <f>IF(AY37=4,"apr",IF(AY37=3,"mar",IF(AY37=2,"feb",IF(AY37=1,"jan",IF(AY37=12,"dec",IF(AY37=11,"nov",IF(AY37=10,"okt",IF(AY37=9,"sep",""))))))))</f>
      </c>
      <c r="AZ36" s="277"/>
      <c r="BA36" s="277"/>
      <c r="BB36" s="277"/>
    </row>
    <row r="37" spans="3:54" ht="15" thickBot="1">
      <c r="C37" s="279" t="s">
        <v>12</v>
      </c>
      <c r="D37" s="280"/>
      <c r="E37" s="280"/>
      <c r="F37" s="280"/>
      <c r="G37" s="280"/>
      <c r="H37" s="280"/>
      <c r="I37" s="280"/>
      <c r="K37" s="338" t="s">
        <v>210</v>
      </c>
      <c r="L37" s="280"/>
      <c r="M37" s="282">
        <f>IF(Kod!$I$10='Back Office'!$B$1,'Back Office'!B42,IF(Kod!$I$10='Back Office'!$C$1,'Back Office'!C42,IF(Kod!$I$10='Back Office'!$D$1,'Back Office'!D42,IF(Kod!$I$10='Back Office'!$E$1,'Back Office'!E42,IF(Kod!$I$10='Back Office'!$F$1,'Back Office'!F42,IF(Kod!$I$10='Back Office'!$G$1,'Back Office'!G42,IF(Kod!$I$10='Back Office'!$H$1,'Back Office'!H42,IF(Kod!$I$10='Back Office'!$I$1,'Back Office'!I42,""))))))))</f>
        <v>1.21</v>
      </c>
      <c r="N37" s="280"/>
      <c r="O37" s="282">
        <f>IF(Kod!$E$10='Back Office'!$B$1,'Back Office'!B42,IF(Kod!$E$10='Back Office'!$C$1,'Back Office'!C42,IF(Kod!$E$10='Back Office'!$D$1,'Back Office'!D42,IF(Kod!$E$10='Back Office'!$E$1,'Back Office'!E42,IF(Kod!$E$10='Back Office'!$F$1,'Back Office'!F42,IF(Kod!$E$10='Back Office'!$G$1,'Back Office'!G42,IF(Kod!$E$10='Back Office'!$H$1,'Back Office'!H42,IF(Kod!$E$10='Back Office'!$I$1,'Back Office'!I42,""))))))))</f>
        <v>1.21</v>
      </c>
      <c r="P37" s="318">
        <f>IF(L37&lt;&gt;"",L37,M37)</f>
        <v>1.21</v>
      </c>
      <c r="R37" s="300" t="s">
        <v>93</v>
      </c>
      <c r="S37" s="280"/>
      <c r="T37" s="332">
        <f>T33</f>
        <v>0.002937229405093955</v>
      </c>
      <c r="U37" s="280"/>
      <c r="V37" s="342"/>
      <c r="W37" s="280"/>
      <c r="AA37" s="323" t="s">
        <v>129</v>
      </c>
      <c r="AB37" s="324">
        <f>$P$11*$P$12*$I$11</f>
        <v>0</v>
      </c>
      <c r="AC37" s="324">
        <f>$P$11*$P$12*$I$11</f>
        <v>0</v>
      </c>
      <c r="AD37" s="324">
        <f>$P$11*$P$12*$I$11</f>
        <v>0</v>
      </c>
      <c r="AE37" s="324">
        <f>$P$11*$P$12*$I$11</f>
        <v>0</v>
      </c>
      <c r="AI37" s="336" t="s">
        <v>28</v>
      </c>
      <c r="AJ37" s="336" t="s">
        <v>29</v>
      </c>
      <c r="AK37" s="399">
        <f>$I$43*(1-$I$31)</f>
        <v>12.959999999999999</v>
      </c>
      <c r="AL37" s="399">
        <f>AL$39*(1-$I$31)</f>
        <v>12.9145968</v>
      </c>
      <c r="AM37" s="399">
        <f>AM$39*(1-$I$31)</f>
        <v>12.6510336</v>
      </c>
      <c r="AN37" s="399">
        <f>AN$39*(1-$I$31)</f>
        <v>12.6510336</v>
      </c>
      <c r="AO37" s="285"/>
      <c r="AP37" s="336">
        <f>$AT$41</f>
        <v>2024</v>
      </c>
      <c r="AQ37" s="399">
        <f>($AM$35-$AM$39)</f>
        <v>26.952907824771263</v>
      </c>
      <c r="AR37" s="399">
        <f aca="true" t="shared" si="27" ref="AR37:AX37">(AQ37-$AM$42*(1/(IF($D$5=10,8,9))))*(1-$W$48)^(1/(IF($D$5=10,8,9)))</f>
        <v>26.845644610926232</v>
      </c>
      <c r="AS37" s="399">
        <f t="shared" si="27"/>
        <v>26.73874380042714</v>
      </c>
      <c r="AT37" s="399">
        <f t="shared" si="27"/>
        <v>26.63220416884503</v>
      </c>
      <c r="AU37" s="399">
        <f t="shared" si="27"/>
        <v>26.52602449588784</v>
      </c>
      <c r="AV37" s="399">
        <f t="shared" si="27"/>
        <v>26.420203565386434</v>
      </c>
      <c r="AW37" s="399">
        <f t="shared" si="27"/>
        <v>26.31474016528067</v>
      </c>
      <c r="AX37" s="399">
        <f t="shared" si="27"/>
        <v>26.20963308760552</v>
      </c>
      <c r="AY37" s="277">
        <f>IF(AY38=4,"apr",IF(AY38=3,"mar",IF(AY38=2,"feb",IF(AY38=1,"jan",IF(AY38=12,"dec",IF(AY38=11,"nov",IF(AY38=10,"okt",IF(AY38=9,"sep",""))))))))</f>
      </c>
      <c r="AZ37" s="277"/>
      <c r="BA37" s="277"/>
      <c r="BB37" s="277"/>
    </row>
    <row r="38" spans="3:54" ht="15.75" thickBot="1" thickTop="1">
      <c r="C38" s="280"/>
      <c r="D38" s="287" t="s">
        <v>127</v>
      </c>
      <c r="E38" s="288"/>
      <c r="F38" s="288"/>
      <c r="G38" s="288"/>
      <c r="H38" s="288"/>
      <c r="I38" s="289" t="s">
        <v>197</v>
      </c>
      <c r="R38" s="300" t="s">
        <v>94</v>
      </c>
      <c r="S38" s="280"/>
      <c r="T38" s="332">
        <f>T34</f>
        <v>0.003855113594185814</v>
      </c>
      <c r="U38" s="280"/>
      <c r="V38" s="342"/>
      <c r="W38" s="280"/>
      <c r="AA38" s="278" t="s">
        <v>171</v>
      </c>
      <c r="AB38" s="284">
        <f>SUM(AB36:AB37)</f>
        <v>0</v>
      </c>
      <c r="AC38" s="284">
        <f>SUM(AC36:AC37)</f>
        <v>0</v>
      </c>
      <c r="AD38" s="284">
        <f>SUM(AD36:AD37)</f>
        <v>0</v>
      </c>
      <c r="AE38" s="284">
        <f>SUM(AE36:AE37)</f>
        <v>0</v>
      </c>
      <c r="AI38" s="336"/>
      <c r="AJ38" s="392" t="s">
        <v>30</v>
      </c>
      <c r="AK38" s="405">
        <f>$I$43*Kod!$I$31</f>
        <v>14.040000000000001</v>
      </c>
      <c r="AL38" s="405">
        <f>AL39*$I$31</f>
        <v>13.9908132</v>
      </c>
      <c r="AM38" s="405">
        <f>AM39*$I$31</f>
        <v>13.7052864</v>
      </c>
      <c r="AN38" s="405">
        <f>AN39*$I$31</f>
        <v>13.7052864</v>
      </c>
      <c r="AP38" s="336">
        <f>$AU$41</f>
        <v>2025</v>
      </c>
      <c r="AQ38" s="399">
        <f>($AN$35-$AN$39)</f>
        <v>24.006539786041575</v>
      </c>
      <c r="AR38" s="399">
        <f aca="true" t="shared" si="28" ref="AR38:AX38">(AQ38-$AN$42*(1/(IF($D$5=10,8,9))))*(1-$W$48)^(1/(IF($D$5=10,8,9)))</f>
        <v>23.911002093875286</v>
      </c>
      <c r="AS38" s="399">
        <f t="shared" si="28"/>
        <v>23.81578718878635</v>
      </c>
      <c r="AT38" s="399">
        <f t="shared" si="28"/>
        <v>23.720893980194752</v>
      </c>
      <c r="AU38" s="399">
        <f t="shared" si="28"/>
        <v>23.626321381205155</v>
      </c>
      <c r="AV38" s="399">
        <f t="shared" si="28"/>
        <v>23.53206830859445</v>
      </c>
      <c r="AW38" s="399">
        <f t="shared" si="28"/>
        <v>23.438133682799336</v>
      </c>
      <c r="AX38" s="399">
        <f t="shared" si="28"/>
        <v>23.344516427903965</v>
      </c>
      <c r="AY38" s="277">
        <f>IF(AH31=4,"apr",IF(AH31=3,"mar",IF(AH31=2,"feb",IF(AH31=1,"jan",IF(AH31=12,"dec",IF(AH31=11,"nov",IF(AH31=10,"okt",IF(AH31=9,"sep",""))))))))</f>
      </c>
      <c r="AZ38" s="277"/>
      <c r="BA38" s="277"/>
      <c r="BB38" s="277"/>
    </row>
    <row r="39" spans="3:48" ht="12" customHeight="1" thickTop="1">
      <c r="C39" s="406" t="s">
        <v>162</v>
      </c>
      <c r="D39" s="342">
        <f>SUM(D41:D43)</f>
        <v>57</v>
      </c>
      <c r="E39" s="280"/>
      <c r="F39" s="280"/>
      <c r="G39" s="280"/>
      <c r="H39" s="280"/>
      <c r="I39" s="407">
        <f>D39</f>
        <v>57</v>
      </c>
      <c r="R39" s="300" t="s">
        <v>95</v>
      </c>
      <c r="S39" s="280"/>
      <c r="T39" s="332"/>
      <c r="U39" s="280"/>
      <c r="V39" s="342"/>
      <c r="W39" s="280"/>
      <c r="Z39" s="278" t="s">
        <v>170</v>
      </c>
      <c r="AA39" s="278" t="s">
        <v>230</v>
      </c>
      <c r="AB39" s="284">
        <f>SUM(AB33,AB36)</f>
        <v>0.16460879381107366</v>
      </c>
      <c r="AC39" s="284">
        <f>SUM(AC33,AC36)</f>
        <v>0.15504314459411983</v>
      </c>
      <c r="AD39" s="284">
        <f>SUM(AD33,AD36)</f>
        <v>0.14628661392032463</v>
      </c>
      <c r="AE39" s="284">
        <f>SUM(AE33,AE36)</f>
        <v>0.13029523345217683</v>
      </c>
      <c r="AI39" s="336"/>
      <c r="AJ39" s="336" t="s">
        <v>13</v>
      </c>
      <c r="AK39" s="399">
        <f>SUM(AK37:AK38)</f>
        <v>27</v>
      </c>
      <c r="AL39" s="399">
        <f>'4 Avskjutning&amp;Prognos'!F21</f>
        <v>26.90541</v>
      </c>
      <c r="AM39" s="399">
        <f>'4 Avskjutning&amp;Prognos'!G21</f>
        <v>26.35632</v>
      </c>
      <c r="AN39" s="399">
        <f>'4 Avskjutning&amp;Prognos'!H21</f>
        <v>26.35632</v>
      </c>
      <c r="AO39" s="408"/>
      <c r="AP39" s="278"/>
      <c r="AQ39" s="278"/>
      <c r="AR39" s="284"/>
      <c r="AS39" s="278"/>
      <c r="AT39" s="278"/>
      <c r="AU39" s="278"/>
      <c r="AV39" s="409"/>
    </row>
    <row r="40" spans="3:48" ht="14.25">
      <c r="C40" s="280" t="s">
        <v>163</v>
      </c>
      <c r="D40" s="369">
        <f>D39/D4*1000</f>
        <v>3.1142435666284216</v>
      </c>
      <c r="E40" s="280"/>
      <c r="F40" s="280"/>
      <c r="G40" s="280"/>
      <c r="H40" s="280"/>
      <c r="I40" s="280"/>
      <c r="R40" s="300" t="s">
        <v>188</v>
      </c>
      <c r="S40" s="280"/>
      <c r="T40" s="332">
        <f>T36</f>
        <v>0.0054274891181083935</v>
      </c>
      <c r="U40" s="280"/>
      <c r="V40" s="342"/>
      <c r="W40" s="280"/>
      <c r="Y40" s="306"/>
      <c r="Z40" s="306"/>
      <c r="AA40" s="410" t="s">
        <v>192</v>
      </c>
      <c r="AB40" s="305">
        <f>AB12</f>
        <v>2022</v>
      </c>
      <c r="AC40" s="305">
        <f>AC12</f>
        <v>2023</v>
      </c>
      <c r="AD40" s="305">
        <f>AD12</f>
        <v>2024</v>
      </c>
      <c r="AE40" s="305">
        <f>AE12</f>
        <v>2025</v>
      </c>
      <c r="AI40" s="336" t="s">
        <v>88</v>
      </c>
      <c r="AJ40" s="336" t="s">
        <v>29</v>
      </c>
      <c r="AK40" s="399">
        <f>AK42*(1-$I$31)</f>
        <v>0.07901222102931535</v>
      </c>
      <c r="AL40" s="399">
        <f>AL42*(1-$I$31)</f>
        <v>0.07442070940517752</v>
      </c>
      <c r="AM40" s="399">
        <f>AM42*(1-$I$31)</f>
        <v>0.07021757468175582</v>
      </c>
      <c r="AN40" s="399">
        <f>AN42*(1-$I$31)</f>
        <v>0.06254171205704488</v>
      </c>
      <c r="AP40" s="283" t="s">
        <v>178</v>
      </c>
      <c r="AQ40" s="278"/>
      <c r="AR40" s="284"/>
      <c r="AS40" s="278"/>
      <c r="AT40" s="278"/>
      <c r="AU40" s="278"/>
      <c r="AV40" s="409"/>
    </row>
    <row r="41" spans="3:48" ht="15" thickBot="1">
      <c r="C41" s="295" t="s">
        <v>158</v>
      </c>
      <c r="D41" s="296">
        <f>IF('3 Förutsättningar'!F28&lt;&gt;"",'3 Förutsättningar'!F28,"")</f>
        <v>16</v>
      </c>
      <c r="E41" s="280"/>
      <c r="F41" s="280"/>
      <c r="G41" s="280"/>
      <c r="H41" s="280"/>
      <c r="I41" s="297">
        <f>IF(AND(D41&gt;=0,'3 Förutsättningar'!G28&lt;&gt;"ORIMLIGT VÄRDE"),D41,"")</f>
        <v>16</v>
      </c>
      <c r="R41" s="287" t="s">
        <v>25</v>
      </c>
      <c r="S41" s="289" t="s">
        <v>127</v>
      </c>
      <c r="T41" s="288" t="s">
        <v>161</v>
      </c>
      <c r="U41" s="288" t="s">
        <v>199</v>
      </c>
      <c r="V41" s="288" t="s">
        <v>200</v>
      </c>
      <c r="W41" s="289" t="s">
        <v>197</v>
      </c>
      <c r="Y41" s="278" t="s">
        <v>37</v>
      </c>
      <c r="Z41" s="278" t="s">
        <v>133</v>
      </c>
      <c r="AA41" s="278" t="s">
        <v>130</v>
      </c>
      <c r="AB41" s="284">
        <f>AB19+AB26+AB33</f>
        <v>0.5212165330109693</v>
      </c>
      <c r="AC41" s="284">
        <f>AC19+AC26+AC33</f>
        <v>0.5005913422657877</v>
      </c>
      <c r="AD41" s="284">
        <f>AD19+AD26+AD33</f>
        <v>0.47370449525254776</v>
      </c>
      <c r="AE41" s="284">
        <f>AE19+AE26+AE33</f>
        <v>0.43508431022275273</v>
      </c>
      <c r="AI41" s="336"/>
      <c r="AJ41" s="392" t="s">
        <v>30</v>
      </c>
      <c r="AK41" s="405">
        <f>AK42*$I$31</f>
        <v>0.0855965727817583</v>
      </c>
      <c r="AL41" s="405">
        <f>AL42*$I$31</f>
        <v>0.08062243518894231</v>
      </c>
      <c r="AM41" s="405">
        <f>AM42*$I$31</f>
        <v>0.07606903923856881</v>
      </c>
      <c r="AN41" s="405">
        <f>AN42*$I$31</f>
        <v>0.06775352139513195</v>
      </c>
      <c r="AP41" s="292"/>
      <c r="AQ41" s="292"/>
      <c r="AR41" s="305">
        <f>AK2</f>
        <v>2022</v>
      </c>
      <c r="AS41" s="305">
        <f>AL2</f>
        <v>2023</v>
      </c>
      <c r="AT41" s="305">
        <f>AM2</f>
        <v>2024</v>
      </c>
      <c r="AU41" s="305">
        <f>AN2</f>
        <v>2025</v>
      </c>
      <c r="AV41" s="409"/>
    </row>
    <row r="42" spans="3:48" ht="15.75" thickBot="1" thickTop="1">
      <c r="C42" s="295" t="s">
        <v>160</v>
      </c>
      <c r="D42" s="296">
        <f>IF('3 Förutsättningar'!F29&lt;&gt;"",'3 Förutsättningar'!F29,"")</f>
        <v>14</v>
      </c>
      <c r="E42" s="280"/>
      <c r="F42" s="280"/>
      <c r="G42" s="280"/>
      <c r="H42" s="280"/>
      <c r="I42" s="297">
        <f>IF(AND(D42&gt;=0,'3 Förutsättningar'!G29&lt;&gt;"ORIMLIGT VÄRDE"),D42,"")</f>
        <v>14</v>
      </c>
      <c r="R42" s="300" t="s">
        <v>11</v>
      </c>
      <c r="S42" s="303">
        <f>IF(AND($S$52&lt;&gt;"",$S$62&lt;&gt;""),SUM(S52,S62),"")</f>
      </c>
      <c r="T42" s="280"/>
      <c r="U42" s="280"/>
      <c r="V42" s="304">
        <f>$I$24*$U$48*(1-($I$44+$U$7))</f>
        <v>0.9179428941347323</v>
      </c>
      <c r="W42" s="304">
        <f>IF(S42&lt;&gt;"",S42,V42)</f>
        <v>0.9179428941347323</v>
      </c>
      <c r="AA42" s="323" t="s">
        <v>129</v>
      </c>
      <c r="AB42" s="324"/>
      <c r="AC42" s="324"/>
      <c r="AD42" s="324"/>
      <c r="AE42" s="324"/>
      <c r="AI42" s="336"/>
      <c r="AJ42" s="336" t="s">
        <v>13</v>
      </c>
      <c r="AK42" s="399">
        <f>IF($S$6&lt;&gt;"",$S$6,AB36+AB33)</f>
        <v>0.16460879381107366</v>
      </c>
      <c r="AL42" s="399">
        <f>IF($S$6&lt;&gt;"",$S$6,AC36+AC33)</f>
        <v>0.15504314459411983</v>
      </c>
      <c r="AM42" s="399">
        <f>IF($S$6&lt;&gt;"",$S$6,AD36+AD33)</f>
        <v>0.14628661392032463</v>
      </c>
      <c r="AN42" s="399">
        <f>IF($S$6&lt;&gt;"",$S$6,AE36+AE33)</f>
        <v>0.13029523345217683</v>
      </c>
      <c r="AP42" s="278" t="s">
        <v>18</v>
      </c>
      <c r="AQ42" s="278" t="s">
        <v>40</v>
      </c>
      <c r="AR42" s="411">
        <f>I56</f>
        <v>30.36038903038825</v>
      </c>
      <c r="AS42" s="351">
        <f>IF(AND(AL7&lt;&gt;"",AL22&lt;&gt;";$h$39&lt;&gt;"),HLOOKUP($I$15,$AQ$17:$AX$22,4,FALSE),"")</f>
        <v>30.16700221015684</v>
      </c>
      <c r="AT42" s="351">
        <f>IF(AND(AM7&lt;&gt;"",AM22&lt;&gt;";$h$39&lt;&gt;"),HLOOKUP($I$15,$AQ$17:$AX$22,5,FALSE),"")</f>
        <v>28.82557581407567</v>
      </c>
      <c r="AU42" s="351">
        <f>IF(AND(AN7&lt;&gt;"",AN22&lt;&gt;";$h$39&lt;&gt;"),HLOOKUP($I$15,$AQ$17:$AX$22,6,FALSE),"")</f>
        <v>26.750637717116625</v>
      </c>
      <c r="AV42" s="409"/>
    </row>
    <row r="43" spans="3:48" ht="15" thickTop="1">
      <c r="C43" s="295" t="s">
        <v>159</v>
      </c>
      <c r="D43" s="296">
        <f>IF('3 Förutsättningar'!F30&lt;&gt;"",'3 Förutsättningar'!F30,"")</f>
        <v>27</v>
      </c>
      <c r="E43" s="280"/>
      <c r="F43" s="280"/>
      <c r="G43" s="280"/>
      <c r="H43" s="280"/>
      <c r="I43" s="297">
        <f>IF(AND(D43&gt;=0,'3 Förutsättningar'!G30&lt;&gt;"ORIMLIGT VÄRDE"),D43,"")</f>
        <v>27</v>
      </c>
      <c r="R43" s="300" t="s">
        <v>9</v>
      </c>
      <c r="S43" s="303">
        <f>IF(AND($S$53&lt;&gt;"",$S$63&lt;&gt;""),SUM(S53,S63),"")</f>
      </c>
      <c r="T43" s="280"/>
      <c r="U43" s="280"/>
      <c r="V43" s="304">
        <f>$I$27*$U$49*(1-($I$45+$U$8))</f>
        <v>2.0629439367950795</v>
      </c>
      <c r="W43" s="304">
        <f>IF(S43&lt;&gt;"",S43,V43)</f>
        <v>2.0629439367950795</v>
      </c>
      <c r="AA43" s="278" t="s">
        <v>171</v>
      </c>
      <c r="AB43" s="284"/>
      <c r="AC43" s="284"/>
      <c r="AD43" s="284"/>
      <c r="AE43" s="284"/>
      <c r="AI43" s="412" t="s">
        <v>32</v>
      </c>
      <c r="AJ43" s="336" t="s">
        <v>29</v>
      </c>
      <c r="AK43" s="399">
        <f>AK45*(1-$I$31)</f>
        <v>0.7239386514594184</v>
      </c>
      <c r="AL43" s="399">
        <f>AL$45*(1-$I$31)</f>
        <v>0.6818695551849911</v>
      </c>
      <c r="AM43" s="399">
        <f>AM$45*(1-$I$31)</f>
        <v>0.6433589090604226</v>
      </c>
      <c r="AN43" s="399">
        <f>AN$45*(1-$I$31)</f>
        <v>0.5730298692621455</v>
      </c>
      <c r="AP43" s="278"/>
      <c r="AQ43" s="278" t="s">
        <v>38</v>
      </c>
      <c r="AR43" s="413">
        <f>I59</f>
        <v>68.22126335512162</v>
      </c>
      <c r="AS43" s="379">
        <f>IF(AND(AL7&lt;&gt;"",AL22&lt;&gt;";$h$39&lt;&gt;"),HLOOKUP($I$15,$AQ$25:$AX$30,4,FALSE),"")</f>
        <v>65.63650235506567</v>
      </c>
      <c r="AT43" s="379">
        <f>IF(AND(AM7&lt;&gt;"",AM22&lt;&gt;";$h$39&lt;&gt;"),HLOOKUP($I$15,$AQ$25:$AX$30,5,FALSE),"")</f>
        <v>62.0088134800993</v>
      </c>
      <c r="AU43" s="379">
        <f>IF(AND(AN7&lt;&gt;"",AN22&lt;&gt;";$h$39&lt;&gt;"),HLOOKUP($I$15,$AQ$25:$AX$30,6,FALSE),"")</f>
        <v>57.62098651882934</v>
      </c>
      <c r="AV43" s="409"/>
    </row>
    <row r="44" spans="3:48" ht="15" thickBot="1">
      <c r="C44" s="295" t="s">
        <v>181</v>
      </c>
      <c r="D44" s="280"/>
      <c r="E44" s="280"/>
      <c r="F44" s="280"/>
      <c r="G44" s="280"/>
      <c r="H44" s="280"/>
      <c r="I44" s="389">
        <f>D41/I24</f>
        <v>0.34235313323136995</v>
      </c>
      <c r="R44" s="300" t="s">
        <v>186</v>
      </c>
      <c r="S44" s="303">
        <f>IF(AND($S$54&lt;&gt;"",$S$64&lt;&gt;""),SUM(S54,S64),"")</f>
      </c>
      <c r="T44" s="280"/>
      <c r="U44" s="280"/>
      <c r="V44" s="304">
        <f>$I$30*$U$50*(1-($I$46+$U$10))</f>
        <v>1.500878413564342</v>
      </c>
      <c r="W44" s="304">
        <f>IF(S44&lt;&gt;"",S44,V44)</f>
        <v>1.500878413564342</v>
      </c>
      <c r="Z44" s="278" t="s">
        <v>128</v>
      </c>
      <c r="AA44" s="278" t="s">
        <v>130</v>
      </c>
      <c r="AB44" s="284">
        <f>SUM(AB20,AB27,AB36)</f>
        <v>0</v>
      </c>
      <c r="AC44" s="284">
        <f>SUM(AC20,AC27,AC36)</f>
        <v>0</v>
      </c>
      <c r="AD44" s="284">
        <f>SUM(AD20,AD27,AD36)</f>
        <v>0</v>
      </c>
      <c r="AE44" s="284">
        <f>SUM(AE20,AE27,AE36)</f>
        <v>0</v>
      </c>
      <c r="AI44" s="336"/>
      <c r="AJ44" s="392" t="s">
        <v>30</v>
      </c>
      <c r="AK44" s="405">
        <f>AK45*$I$31</f>
        <v>0.78426687241437</v>
      </c>
      <c r="AL44" s="405">
        <f>AL45*$I$31</f>
        <v>0.7386920181170737</v>
      </c>
      <c r="AM44" s="405">
        <f>AM45*$I$31</f>
        <v>0.6969721514821245</v>
      </c>
      <c r="AN44" s="405">
        <f>AN45*$I$31</f>
        <v>0.6207823583673243</v>
      </c>
      <c r="AP44" s="278"/>
      <c r="AQ44" s="323" t="s">
        <v>39</v>
      </c>
      <c r="AR44" s="414">
        <f>I62</f>
        <v>29.539347614490136</v>
      </c>
      <c r="AS44" s="415">
        <f>IF(AND(AL7&lt;&gt;"",AL22&lt;&gt;";$h$39&lt;&gt;"),HLOOKUP($I$15,$AQ$33:$AX$38,4,FALSE),"")</f>
        <v>28.113838588560707</v>
      </c>
      <c r="AT44" s="415">
        <f>IF(AND(AM7&lt;&gt;"",AM22&lt;&gt;";$h$39&lt;&gt;"),HLOOKUP($I$15,$AQ$33:$AX$38,5,FALSE),"")</f>
        <v>26.52602449588784</v>
      </c>
      <c r="AU44" s="415">
        <f>IF(AND(AN7&lt;&gt;"",AN22&lt;&gt;";$h$39&lt;&gt;"),HLOOKUP($I$15,$AQ$33:$AX$38,6,FALSE),"")</f>
        <v>23.626321381205155</v>
      </c>
      <c r="AV44" s="409"/>
    </row>
    <row r="45" spans="3:48" ht="15.75" thickBot="1" thickTop="1">
      <c r="C45" s="295" t="s">
        <v>182</v>
      </c>
      <c r="D45" s="338"/>
      <c r="E45" s="338"/>
      <c r="F45" s="338"/>
      <c r="G45" s="338"/>
      <c r="H45" s="338"/>
      <c r="I45" s="389">
        <f>D42/I27</f>
        <v>0.1685019327623149</v>
      </c>
      <c r="R45" s="300" t="s">
        <v>167</v>
      </c>
      <c r="S45" s="332">
        <f>IF(AND($S$42&lt;&gt;"",$S$43&lt;&gt;"",$S$44&lt;&gt;""),$S$42/$I$24,"")</f>
      </c>
      <c r="T45" s="332"/>
      <c r="U45" s="280"/>
      <c r="V45" s="280"/>
      <c r="W45" s="280"/>
      <c r="AA45" s="323" t="s">
        <v>129</v>
      </c>
      <c r="AB45" s="324">
        <f>SUM(AB21,AB28,AB22,AB29,$P$11*$P$12*$I$11)</f>
        <v>0</v>
      </c>
      <c r="AC45" s="324">
        <f>SUM(AC21,AC28,AC22,AC29,$P$11*$P$12*$I$11)</f>
        <v>0</v>
      </c>
      <c r="AD45" s="324">
        <f>SUM(AD21,AD28,AD22,AD29,$P$11*$P$12*$I$11)</f>
        <v>0</v>
      </c>
      <c r="AE45" s="324">
        <f>SUM(AE21,AE28,AE22,AE29,$P$11*$P$12*$I$11)</f>
        <v>0</v>
      </c>
      <c r="AI45" s="336"/>
      <c r="AJ45" s="416" t="s">
        <v>13</v>
      </c>
      <c r="AK45" s="417">
        <f>IF(AND($S$42&lt;&gt;"",$S$43&lt;&gt;"",$S$44&lt;&gt;""),$W$44,$I$30*$W$50*(1-(I46+$W$14)))</f>
        <v>1.5082055238737884</v>
      </c>
      <c r="AL45" s="417">
        <f>AL35*($W$50*(1-(AL53+AL56)))</f>
        <v>1.420561573302065</v>
      </c>
      <c r="AM45" s="417">
        <f>AM35*($W$50*(1-(AM53+AM56)))</f>
        <v>1.3403310605425471</v>
      </c>
      <c r="AN45" s="417">
        <f>AN35*($W$50*(1-(AN53+AN56)))</f>
        <v>1.1938122276294698</v>
      </c>
      <c r="AP45" s="278"/>
      <c r="AQ45" s="278" t="s">
        <v>13</v>
      </c>
      <c r="AR45" s="284">
        <f>I53</f>
        <v>128.121</v>
      </c>
      <c r="AS45" s="379">
        <f>IF(AND(AL7&lt;&gt;"",AL22&lt;&gt;";D39&lt;&gt;"),SUM(AS42:AS44),"")</f>
        <v>123.91734315378322</v>
      </c>
      <c r="AT45" s="379">
        <f>IF(AND(AM7&lt;&gt;"",AM22&lt;&gt;";D39&lt;&gt;"),SUM(AT42:AT44),"")</f>
        <v>117.36041379006281</v>
      </c>
      <c r="AU45" s="379">
        <f>IF(AND(AN7&lt;&gt;"",AN22&lt;&gt;";D39&lt;&gt;"),SUM(AU42:AU44),"")</f>
        <v>107.99794561715113</v>
      </c>
      <c r="AV45" s="409"/>
    </row>
    <row r="46" spans="3:48" ht="15" thickTop="1">
      <c r="C46" s="295" t="s">
        <v>183</v>
      </c>
      <c r="D46" s="280"/>
      <c r="E46" s="280"/>
      <c r="F46" s="280"/>
      <c r="G46" s="280"/>
      <c r="H46" s="280"/>
      <c r="I46" s="389">
        <f>D43/I30</f>
        <v>0.4709681350499484</v>
      </c>
      <c r="K46" s="418"/>
      <c r="R46" s="300" t="s">
        <v>168</v>
      </c>
      <c r="S46" s="332">
        <f>IF(AND($S$42&lt;&gt;"",$S$43&lt;&gt;"",$S$44&lt;&gt;""),$S$43/$I$27,"")</f>
      </c>
      <c r="T46" s="332"/>
      <c r="U46" s="280"/>
      <c r="V46" s="280"/>
      <c r="W46" s="280"/>
      <c r="AA46" s="278" t="s">
        <v>171</v>
      </c>
      <c r="AB46" s="284">
        <f>SUM(AB44:AB45)</f>
        <v>0</v>
      </c>
      <c r="AC46" s="284">
        <f>SUM(AC44:AC45)</f>
        <v>0</v>
      </c>
      <c r="AD46" s="284">
        <f>SUM(AD44:AD45)</f>
        <v>0</v>
      </c>
      <c r="AE46" s="284">
        <f>SUM(AE44:AE45)</f>
        <v>0</v>
      </c>
      <c r="AP46" s="278" t="s">
        <v>14</v>
      </c>
      <c r="AQ46" s="278" t="s">
        <v>172</v>
      </c>
      <c r="AR46" s="334">
        <f>IF(I56+I59&lt;=0,"",I56/(I56+I59))</f>
        <v>0.30797200387412865</v>
      </c>
      <c r="AS46" s="334">
        <f>IF(AND(AL7&lt;&gt;"",AL22&lt;&gt;";D39&lt;&gt;"),IF(AS42+AS43&lt;=0,"",AS42/(AS42+AS43)),"")</f>
        <v>0.3148841198144198</v>
      </c>
      <c r="AT46" s="334">
        <f>IF(AND(AM7&lt;&gt;"",AM22&lt;&gt;";D39&lt;&gt;"),IF(AT42+AT43&lt;=0,"",AT42/(AT42+AT43)),"")</f>
        <v>0.31734209959535886</v>
      </c>
      <c r="AU46" s="334">
        <f>IF(AND(AN7&lt;&gt;"",AN22&lt;&gt;";D39&lt;&gt;"),IF(AU42+AU43&lt;=0,"",AU42/(AU42+AU43)),"")</f>
        <v>0.3170572803281378</v>
      </c>
      <c r="AV46" s="409"/>
    </row>
    <row r="47" spans="3:31" ht="14.25">
      <c r="C47" s="279" t="s">
        <v>166</v>
      </c>
      <c r="D47" s="280"/>
      <c r="E47" s="280"/>
      <c r="F47" s="280"/>
      <c r="G47" s="280"/>
      <c r="H47" s="280"/>
      <c r="I47" s="280"/>
      <c r="R47" s="300" t="s">
        <v>187</v>
      </c>
      <c r="S47" s="332">
        <f>IF(AND($S$42&lt;&gt;"",$S$43&lt;&gt;"",$S$44&lt;&gt;""),$S$44/$I$30,"")</f>
      </c>
      <c r="T47" s="332"/>
      <c r="U47" s="280"/>
      <c r="V47" s="280"/>
      <c r="W47" s="280"/>
      <c r="Z47" s="278" t="s">
        <v>170</v>
      </c>
      <c r="AA47" s="284" t="s">
        <v>230</v>
      </c>
      <c r="AB47" s="284">
        <f>SUM(AB24,AB31,AB39)</f>
        <v>0.5212165330109693</v>
      </c>
      <c r="AC47" s="284">
        <f>SUM(AC24,AC31,AC39)</f>
        <v>0.5005913422657877</v>
      </c>
      <c r="AD47" s="284">
        <f>SUM(AD24,AD31,AD39)</f>
        <v>0.47370449525254776</v>
      </c>
      <c r="AE47" s="284">
        <f>SUM(AE24,AE31,AE39)</f>
        <v>0.43508431022275273</v>
      </c>
    </row>
    <row r="48" spans="3:40" ht="14.25">
      <c r="C48" s="280"/>
      <c r="D48" s="287" t="s">
        <v>127</v>
      </c>
      <c r="E48" s="288" t="s">
        <v>161</v>
      </c>
      <c r="F48" s="288" t="s">
        <v>198</v>
      </c>
      <c r="G48" s="288"/>
      <c r="H48" s="288" t="s">
        <v>247</v>
      </c>
      <c r="I48" s="289" t="s">
        <v>197</v>
      </c>
      <c r="R48" s="300" t="s">
        <v>93</v>
      </c>
      <c r="S48" s="333">
        <f>IF(AND($S$42&lt;&gt;"",$S$43&lt;&gt;"",$S$44&lt;&gt;""),$S$45/(1-($U$11+$I$44)),"")</f>
      </c>
      <c r="T48" s="332">
        <f>IF(Kod!$I$10='Back Office'!$B$1,'Back Office'!B7,IF(Kod!$I$10='Back Office'!$C$1,'Back Office'!C7,IF(Kod!$I$10='Back Office'!$D$1,'Back Office'!D7,IF(Kod!$I$10='Back Office'!$E$1,'Back Office'!E7,IF(Kod!$I$10='Back Office'!$F$1,'Back Office'!F7,IF(Kod!$I$10='Back Office'!$G$1,'Back Office'!G7,IF(Kod!$I$10='Back Office'!$H$1,'Back Office'!H7,IF(Kod!$I$10='Back Office'!$I$1,'Back Office'!I7,""))))))))</f>
        <v>0.03</v>
      </c>
      <c r="U48" s="333">
        <f>IF(S48&lt;&gt;"",S48,T48)</f>
        <v>0.03</v>
      </c>
      <c r="V48" s="333"/>
      <c r="W48" s="333">
        <f>IF(S48&lt;&gt;"",S48,U48)</f>
        <v>0.03</v>
      </c>
      <c r="AI48" s="336" t="s">
        <v>33</v>
      </c>
      <c r="AJ48" s="336" t="s">
        <v>29</v>
      </c>
      <c r="AK48" s="399">
        <f>AK37+AK40+AK43</f>
        <v>13.762950872488732</v>
      </c>
      <c r="AL48" s="399">
        <f aca="true" t="shared" si="29" ref="AK48:AN49">AL37+AL40+AL43</f>
        <v>13.670887064590168</v>
      </c>
      <c r="AM48" s="399">
        <f t="shared" si="29"/>
        <v>13.364610083742178</v>
      </c>
      <c r="AN48" s="399">
        <f t="shared" si="29"/>
        <v>13.28660518131919</v>
      </c>
    </row>
    <row r="49" spans="3:44" ht="15" thickBot="1">
      <c r="C49" s="288" t="s">
        <v>242</v>
      </c>
      <c r="D49" s="296">
        <f>IF('3 Förutsättningar'!F34&lt;&gt;"",'3 Förutsättningar'!F34,"")</f>
        <v>1</v>
      </c>
      <c r="E49" s="280"/>
      <c r="F49" s="280"/>
      <c r="G49" s="280"/>
      <c r="H49" s="280"/>
      <c r="I49" s="297">
        <f>IF(AND(D49&gt;0,'3 Förutsättningar'!G34&lt;&gt;"ORIMLIGT VÄRDE"),D49,"")</f>
        <v>1</v>
      </c>
      <c r="R49" s="300" t="s">
        <v>94</v>
      </c>
      <c r="S49" s="333">
        <f>IF(AND($S$42&lt;&gt;"",$S$43&lt;&gt;"",$S$44&lt;&gt;""),$S$46/(1-($I$45+$U$12)),"")</f>
      </c>
      <c r="T49" s="332">
        <f>IF(Kod!$I$10='Back Office'!$B$1,'Back Office'!B8,IF(Kod!$I$10='Back Office'!$C$1,'Back Office'!C8,IF(Kod!$I$10='Back Office'!$D$1,'Back Office'!D8,IF(Kod!$I$10='Back Office'!$E$1,'Back Office'!E8,IF(Kod!$I$10='Back Office'!$F$1,'Back Office'!F8,IF(Kod!$I$10='Back Office'!$G$1,'Back Office'!G8,IF(Kod!$I$10='Back Office'!$H$1,'Back Office'!H8,IF(Kod!$I$10='Back Office'!$I$1,'Back Office'!I8,""))))))))</f>
        <v>0.03</v>
      </c>
      <c r="U49" s="333">
        <f>IF(S49&lt;&gt;"",S49,T49)</f>
        <v>0.03</v>
      </c>
      <c r="V49" s="333"/>
      <c r="W49" s="333">
        <f>IF(S49&lt;&gt;"",S49,U49)</f>
        <v>0.03</v>
      </c>
      <c r="AI49" s="336"/>
      <c r="AJ49" s="392" t="s">
        <v>30</v>
      </c>
      <c r="AK49" s="405">
        <f t="shared" si="29"/>
        <v>14.90986344519613</v>
      </c>
      <c r="AL49" s="405">
        <f t="shared" si="29"/>
        <v>14.810127653306017</v>
      </c>
      <c r="AM49" s="405">
        <f t="shared" si="29"/>
        <v>14.478327590720694</v>
      </c>
      <c r="AN49" s="405">
        <f t="shared" si="29"/>
        <v>14.393822279762455</v>
      </c>
      <c r="AR49" s="419"/>
    </row>
    <row r="50" spans="3:40" ht="15" thickTop="1">
      <c r="C50" s="280"/>
      <c r="D50" s="280" t="str">
        <f>IF(D49=9,"sep",IF(D49=10,"okt",IF(D49=11,"nov",IF(D49=12,"dec",IF(D49=1,"jan",IF(D49=2,"feb",IF(D49=3,"mar",IF(D49=4,"apr",""))))))))</f>
        <v>jan</v>
      </c>
      <c r="E50" s="280"/>
      <c r="F50" s="280"/>
      <c r="G50" s="280"/>
      <c r="H50" s="280"/>
      <c r="I50" s="280" t="str">
        <f>IF(I49=9,"sep",IF(I49=10,"okt",IF(I49=11,"nov",IF(I49=12,"dec",IF(I49=1,"jan",IF(I49=2,"feb",IF(I49=3,"mar",IF(I49=4,"apr",""))))))))</f>
        <v>jan</v>
      </c>
      <c r="R50" s="300" t="s">
        <v>188</v>
      </c>
      <c r="S50" s="333">
        <f>IF(AND($S$42&lt;&gt;"",$S$43&lt;&gt;"",$S$44&lt;&gt;""),$S$47/(1-($U$14+$I$46)),"")</f>
      </c>
      <c r="T50" s="332">
        <f>IF(Kod!$I$10='Back Office'!$B$1,'Back Office'!B9,IF(Kod!$I$10='Back Office'!$C$1,'Back Office'!C9,IF(Kod!$I$10='Back Office'!$D$1,'Back Office'!D9,IF(Kod!$I$10='Back Office'!$E$1,'Back Office'!E9,IF(Kod!$I$10='Back Office'!$F$1,'Back Office'!F9,IF(Kod!$I$10='Back Office'!$G$1,'Back Office'!G9,IF(Kod!$I$10='Back Office'!$H$1,'Back Office'!H9,IF(Kod!$I$10='Back Office'!$I$1,'Back Office'!I9,""))))))))</f>
        <v>0.05</v>
      </c>
      <c r="U50" s="333">
        <f>IF(S50&lt;&gt;"",S50,T50)</f>
        <v>0.05</v>
      </c>
      <c r="V50" s="333"/>
      <c r="W50" s="333">
        <f>IF(S50&lt;&gt;"",S50,U50)</f>
        <v>0.05</v>
      </c>
      <c r="AI50" s="336"/>
      <c r="AJ50" s="336" t="s">
        <v>13</v>
      </c>
      <c r="AK50" s="399">
        <f>SUM(AK48:AK49)</f>
        <v>28.67281431768486</v>
      </c>
      <c r="AL50" s="399">
        <f>SUM(AL48:AL49)</f>
        <v>28.481014717896187</v>
      </c>
      <c r="AM50" s="399">
        <f>SUM(AM48:AM49)</f>
        <v>27.842937674462874</v>
      </c>
      <c r="AN50" s="399">
        <f>SUM(AN48:AN49)</f>
        <v>27.680427461081646</v>
      </c>
    </row>
    <row r="51" spans="3:48" ht="14.25">
      <c r="C51" s="317" t="s">
        <v>189</v>
      </c>
      <c r="D51" s="301">
        <v>1</v>
      </c>
      <c r="E51" s="280"/>
      <c r="F51" s="420"/>
      <c r="G51" s="420"/>
      <c r="H51" s="280"/>
      <c r="I51" s="297">
        <f>IF(AND(D51&lt;&gt;"",'3 Förutsättningar'!I39&lt;&gt;"ORIMLIGT VÄRDE"),D51,D49)</f>
        <v>1</v>
      </c>
      <c r="R51" s="289" t="s">
        <v>63</v>
      </c>
      <c r="S51" s="289" t="s">
        <v>127</v>
      </c>
      <c r="T51" s="288" t="s">
        <v>161</v>
      </c>
      <c r="U51" s="288" t="s">
        <v>199</v>
      </c>
      <c r="V51" s="288" t="s">
        <v>200</v>
      </c>
      <c r="W51" s="289" t="s">
        <v>197</v>
      </c>
      <c r="AI51" s="336" t="s">
        <v>34</v>
      </c>
      <c r="AJ51" s="336" t="s">
        <v>29</v>
      </c>
      <c r="AK51" s="421">
        <f aca="true" t="shared" si="30" ref="AK51:AN53">IF(AK33&lt;=0,0,IF(AK37/AK33&gt;1,1,AK37/AK33))</f>
        <v>0.47096813504994833</v>
      </c>
      <c r="AL51" s="421">
        <f t="shared" si="30"/>
        <v>0.4850296180628613</v>
      </c>
      <c r="AM51" s="421">
        <f t="shared" si="30"/>
        <v>0.4944044600802298</v>
      </c>
      <c r="AN51" s="421">
        <f t="shared" si="30"/>
        <v>0.5233285026301235</v>
      </c>
      <c r="AO51" s="277"/>
      <c r="AV51" s="277"/>
    </row>
    <row r="52" spans="3:48" ht="15" thickBot="1">
      <c r="C52" s="280"/>
      <c r="D52" s="280" t="str">
        <f>IF(D51=9,"sep",IF(D51=10,"okt",IF(D51=11,"nov",IF(D51=12,"dec",IF(D51=1,"jan",IF(D51=2,"feb",IF(D51=3,"mar",IF(D51=4,"apr",""))))))))</f>
        <v>jan</v>
      </c>
      <c r="E52" s="280"/>
      <c r="F52" s="280"/>
      <c r="G52" s="280"/>
      <c r="H52" s="280"/>
      <c r="I52" s="280" t="str">
        <f>IF(I51=9,"sep",IF(I51=10,"okt",IF(I51=11,"nov",IF(I51=12,"dec",IF(I51=1,"jan",IF(I51=2,"feb",IF(I51=3,"mar",IF(I51=4,"apr",""))))))))</f>
        <v>jan</v>
      </c>
      <c r="R52" s="300" t="s">
        <v>11</v>
      </c>
      <c r="S52" s="301">
        <f>IF(OR(OR('3 Förutsättningar'!$I$45&lt;&gt;"",'3 Förutsättningar'!$I$46&lt;&gt;"",'3 Förutsättningar'!$I$47&lt;&gt;""),OR('3 Förutsättningar'!$G$45="",'3 Förutsättningar'!$G$46="",'3 Förutsättningar'!$G$47="",'3 Förutsättningar'!$H$45="",'3 Förutsättningar'!$H$46="",'3 Förutsättningar'!$H$47="")),"",'3 Förutsättningar'!$G$45)</f>
      </c>
      <c r="T52" s="373"/>
      <c r="U52" s="342"/>
      <c r="V52" s="342"/>
      <c r="W52" s="342"/>
      <c r="AI52" s="336"/>
      <c r="AJ52" s="392" t="s">
        <v>30</v>
      </c>
      <c r="AK52" s="422">
        <f t="shared" si="30"/>
        <v>0.4709681350499484</v>
      </c>
      <c r="AL52" s="422">
        <f t="shared" si="30"/>
        <v>0.4850296180628613</v>
      </c>
      <c r="AM52" s="422">
        <f t="shared" si="30"/>
        <v>0.4944044600802298</v>
      </c>
      <c r="AN52" s="422">
        <f t="shared" si="30"/>
        <v>0.5233285026301235</v>
      </c>
      <c r="AO52" s="294"/>
      <c r="AV52" s="294"/>
    </row>
    <row r="53" spans="3:48" ht="15" thickTop="1">
      <c r="C53" s="300" t="s">
        <v>87</v>
      </c>
      <c r="D53" s="302">
        <f>D54*D4/1000</f>
        <v>128.121</v>
      </c>
      <c r="E53" s="342"/>
      <c r="F53" s="302">
        <f>D53</f>
        <v>128.121</v>
      </c>
      <c r="G53" s="302"/>
      <c r="H53" s="377">
        <f>SUM(H56,H59,H62)</f>
        <v>128.26700540751267</v>
      </c>
      <c r="I53" s="377">
        <f>SUM(I56,I59,I62)</f>
        <v>128.121</v>
      </c>
      <c r="M53" s="423"/>
      <c r="R53" s="300" t="s">
        <v>9</v>
      </c>
      <c r="S53" s="301">
        <f>IF(OR(OR('3 Förutsättningar'!$I$45&lt;&gt;"",'3 Förutsättningar'!$I$46&lt;&gt;"",'3 Förutsättningar'!$I$47&lt;&gt;""),OR('3 Förutsättningar'!$G$45="",'3 Förutsättningar'!$G$46="",'3 Förutsättningar'!$G$47="",'3 Förutsättningar'!$H$45="",'3 Förutsättningar'!$H$46="",'3 Förutsättningar'!$H$47="")),"",'3 Förutsättningar'!$G$46)</f>
      </c>
      <c r="T53" s="342"/>
      <c r="U53" s="342"/>
      <c r="V53" s="342"/>
      <c r="W53" s="342"/>
      <c r="AI53" s="336"/>
      <c r="AJ53" s="336" t="s">
        <v>13</v>
      </c>
      <c r="AK53" s="421">
        <f t="shared" si="30"/>
        <v>0.4709681350499484</v>
      </c>
      <c r="AL53" s="421">
        <f t="shared" si="30"/>
        <v>0.4850296180628613</v>
      </c>
      <c r="AM53" s="421">
        <f t="shared" si="30"/>
        <v>0.4944044600802298</v>
      </c>
      <c r="AN53" s="421">
        <f t="shared" si="30"/>
        <v>0.5233285026301235</v>
      </c>
      <c r="AO53" s="294"/>
      <c r="AV53" s="294"/>
    </row>
    <row r="54" spans="3:48" ht="14.25">
      <c r="C54" s="295" t="s">
        <v>92</v>
      </c>
      <c r="D54" s="298">
        <f>IF('3 Förutsättningar'!F33&lt;&gt;"",'3 Förutsättningar'!F33,"")</f>
        <v>7</v>
      </c>
      <c r="E54" s="424"/>
      <c r="F54" s="424"/>
      <c r="G54" s="424"/>
      <c r="H54" s="424"/>
      <c r="I54" s="400">
        <f>IF(AND(D54&gt;=0,'3 Förutsättningar'!G33&lt;&gt;"ORIMLIGT VÄRDE"),D54,"")</f>
        <v>7</v>
      </c>
      <c r="J54" s="284"/>
      <c r="R54" s="300" t="s">
        <v>186</v>
      </c>
      <c r="S54" s="301">
        <f>IF(OR(OR('3 Förutsättningar'!$I$45&lt;&gt;"",'3 Förutsättningar'!$I$46&lt;&gt;"",'3 Förutsättningar'!$I$47&lt;&gt;""),OR('3 Förutsättningar'!$G$45="",'3 Förutsättningar'!$G$46="",'3 Förutsättningar'!$G$47="",'3 Förutsättningar'!$H$45="",'3 Förutsättningar'!$H$46="",'3 Förutsättningar'!$H$47="")),"",'3 Förutsättningar'!$G$47)</f>
      </c>
      <c r="T54" s="342"/>
      <c r="U54" s="342"/>
      <c r="V54" s="342"/>
      <c r="W54" s="342"/>
      <c r="AI54" s="336" t="s">
        <v>90</v>
      </c>
      <c r="AJ54" s="336" t="s">
        <v>29</v>
      </c>
      <c r="AK54" s="421">
        <f aca="true" t="shared" si="31" ref="AK54:AN56">IF(AK33&lt;=0,0,IF(AK40/AK33&gt;1,1,AK40/AK33))</f>
        <v>0.002871314690148994</v>
      </c>
      <c r="AL54" s="421">
        <f t="shared" si="31"/>
        <v>0.0027949961441119434</v>
      </c>
      <c r="AM54" s="421">
        <f t="shared" si="31"/>
        <v>0.0027441142910786913</v>
      </c>
      <c r="AN54" s="421">
        <f t="shared" si="31"/>
        <v>0.002587129364887438</v>
      </c>
      <c r="AO54" s="294"/>
      <c r="AV54" s="294"/>
    </row>
    <row r="55" spans="3:40" ht="15" thickBot="1">
      <c r="C55" s="300" t="s">
        <v>86</v>
      </c>
      <c r="D55" s="302">
        <f>IF(D66&lt;&gt;"",D53/(1+D66),"")</f>
      </c>
      <c r="E55" s="302"/>
      <c r="F55" s="302">
        <f>IF(F66&lt;&gt;"",F53/(1+F66),"")</f>
        <v>94.90444444444445</v>
      </c>
      <c r="G55" s="302"/>
      <c r="H55" s="302"/>
      <c r="I55" s="425"/>
      <c r="R55" s="300" t="s">
        <v>167</v>
      </c>
      <c r="S55" s="342"/>
      <c r="T55" s="342"/>
      <c r="U55" s="342"/>
      <c r="V55" s="342"/>
      <c r="W55" s="342"/>
      <c r="AI55" s="336"/>
      <c r="AJ55" s="392" t="s">
        <v>30</v>
      </c>
      <c r="AK55" s="422">
        <f t="shared" si="31"/>
        <v>0.0028713146901489946</v>
      </c>
      <c r="AL55" s="422">
        <f t="shared" si="31"/>
        <v>0.0027949961441119434</v>
      </c>
      <c r="AM55" s="422">
        <f t="shared" si="31"/>
        <v>0.0027441142910786913</v>
      </c>
      <c r="AN55" s="422">
        <f t="shared" si="31"/>
        <v>0.002587129364887438</v>
      </c>
    </row>
    <row r="56" spans="3:40" ht="15" thickTop="1">
      <c r="C56" s="300" t="s">
        <v>11</v>
      </c>
      <c r="D56" s="302">
        <f>IF(AND(D55&lt;&gt;"",D64&lt;&gt;""),D64*D55,"")</f>
      </c>
      <c r="E56" s="302"/>
      <c r="F56" s="302">
        <f>IF(F64&lt;&gt;"",F64*F55,"")</f>
        <v>28.471333333333334</v>
      </c>
      <c r="G56" s="302"/>
      <c r="H56" s="426">
        <f>HLOOKUP($I$15,AQ17:AX22,3,FALSE)</f>
        <v>30.39498742544156</v>
      </c>
      <c r="I56" s="427">
        <f>H56*($D$53/$H$53)</f>
        <v>30.36038903038825</v>
      </c>
      <c r="K56" s="3"/>
      <c r="R56" s="300" t="s">
        <v>168</v>
      </c>
      <c r="S56" s="342"/>
      <c r="T56" s="342"/>
      <c r="U56" s="342"/>
      <c r="V56" s="342"/>
      <c r="W56" s="342"/>
      <c r="AI56" s="336"/>
      <c r="AJ56" s="336" t="s">
        <v>13</v>
      </c>
      <c r="AK56" s="421">
        <f t="shared" si="31"/>
        <v>0.002871314690148994</v>
      </c>
      <c r="AL56" s="421">
        <f t="shared" si="31"/>
        <v>0.0027949961441119434</v>
      </c>
      <c r="AM56" s="421">
        <f t="shared" si="31"/>
        <v>0.0027441142910786913</v>
      </c>
      <c r="AN56" s="421">
        <f t="shared" si="31"/>
        <v>0.002587129364887438</v>
      </c>
    </row>
    <row r="57" spans="3:40" ht="14.25">
      <c r="C57" s="300" t="s">
        <v>174</v>
      </c>
      <c r="D57" s="338"/>
      <c r="E57" s="338"/>
      <c r="F57" s="338"/>
      <c r="G57" s="338"/>
      <c r="H57" s="428"/>
      <c r="I57" s="428"/>
      <c r="J57" s="284"/>
      <c r="K57" s="3"/>
      <c r="R57" s="300" t="s">
        <v>187</v>
      </c>
      <c r="S57" s="342"/>
      <c r="T57" s="342"/>
      <c r="U57" s="342"/>
      <c r="V57" s="342"/>
      <c r="W57" s="342"/>
      <c r="AI57" s="336" t="s">
        <v>35</v>
      </c>
      <c r="AJ57" s="336" t="s">
        <v>29</v>
      </c>
      <c r="AK57" s="421">
        <f aca="true" t="shared" si="32" ref="AK57:AN59">IF(AK33&lt;=0,0,IF(AK43/AK33&gt;1,1,AK43/AK33))</f>
        <v>0.026308027512995127</v>
      </c>
      <c r="AL57" s="421">
        <f t="shared" si="32"/>
        <v>0.025608769289651334</v>
      </c>
      <c r="AM57" s="421">
        <f t="shared" si="32"/>
        <v>0.02514257128143458</v>
      </c>
      <c r="AN57" s="421">
        <f t="shared" si="32"/>
        <v>0.02370421840024945</v>
      </c>
    </row>
    <row r="58" spans="3:48" ht="15" thickBot="1">
      <c r="C58" s="300" t="s">
        <v>173</v>
      </c>
      <c r="D58" s="280"/>
      <c r="E58" s="280"/>
      <c r="F58" s="280"/>
      <c r="G58" s="280"/>
      <c r="H58" s="342"/>
      <c r="I58" s="342"/>
      <c r="K58" s="3"/>
      <c r="R58" s="300" t="s">
        <v>93</v>
      </c>
      <c r="S58" s="342"/>
      <c r="T58" s="342"/>
      <c r="U58" s="342"/>
      <c r="V58" s="342"/>
      <c r="W58" s="342"/>
      <c r="AI58" s="336"/>
      <c r="AJ58" s="392" t="s">
        <v>30</v>
      </c>
      <c r="AK58" s="422">
        <f t="shared" si="32"/>
        <v>0.02630802751299513</v>
      </c>
      <c r="AL58" s="422">
        <f t="shared" si="32"/>
        <v>0.025608769289651334</v>
      </c>
      <c r="AM58" s="422">
        <f t="shared" si="32"/>
        <v>0.02514257128143458</v>
      </c>
      <c r="AN58" s="422">
        <f t="shared" si="32"/>
        <v>0.02370421840024945</v>
      </c>
      <c r="AO58" s="429"/>
      <c r="AV58" s="429"/>
    </row>
    <row r="59" spans="3:48" ht="15" thickTop="1">
      <c r="C59" s="300" t="s">
        <v>9</v>
      </c>
      <c r="D59" s="302">
        <f>IF(AND(D55&lt;&gt;"",D65&lt;&gt;""),D65*D55,"")</f>
      </c>
      <c r="E59" s="302"/>
      <c r="F59" s="302">
        <f>IF(F65&lt;&gt;"",F65*F55,"")</f>
        <v>66.43311111111112</v>
      </c>
      <c r="G59" s="302"/>
      <c r="H59" s="426">
        <f>HLOOKUP($I$15,AQ25:AX30,3,FALSE)</f>
        <v>68.29900762309637</v>
      </c>
      <c r="I59" s="427">
        <f>H59*($D$53/$H$53)</f>
        <v>68.22126335512162</v>
      </c>
      <c r="K59" s="3"/>
      <c r="R59" s="300" t="s">
        <v>94</v>
      </c>
      <c r="S59" s="342"/>
      <c r="T59" s="342"/>
      <c r="U59" s="342"/>
      <c r="V59" s="342"/>
      <c r="W59" s="342"/>
      <c r="AI59" s="336"/>
      <c r="AJ59" s="336" t="s">
        <v>13</v>
      </c>
      <c r="AK59" s="421">
        <f t="shared" si="32"/>
        <v>0.02630802751299513</v>
      </c>
      <c r="AL59" s="421">
        <f t="shared" si="32"/>
        <v>0.025608769289651334</v>
      </c>
      <c r="AM59" s="421">
        <f t="shared" si="32"/>
        <v>0.02514257128143458</v>
      </c>
      <c r="AN59" s="421">
        <f t="shared" si="32"/>
        <v>0.02370421840024945</v>
      </c>
      <c r="AO59" s="429"/>
      <c r="AV59" s="429"/>
    </row>
    <row r="60" spans="3:48" ht="14.25">
      <c r="C60" s="300" t="s">
        <v>176</v>
      </c>
      <c r="D60" s="280"/>
      <c r="E60" s="280"/>
      <c r="F60" s="280"/>
      <c r="G60" s="280"/>
      <c r="H60" s="342"/>
      <c r="I60" s="342"/>
      <c r="J60" s="284"/>
      <c r="R60" s="300" t="s">
        <v>188</v>
      </c>
      <c r="S60" s="342"/>
      <c r="T60" s="342"/>
      <c r="U60" s="342"/>
      <c r="V60" s="342"/>
      <c r="W60" s="342"/>
      <c r="AI60" s="336" t="s">
        <v>36</v>
      </c>
      <c r="AJ60" s="336" t="s">
        <v>29</v>
      </c>
      <c r="AK60" s="421">
        <f aca="true" t="shared" si="33" ref="AK60:AN62">IF(AK33&lt;=0,0,IF(AK48/AK33&gt;1,1,AK48/AK33))</f>
        <v>0.5001474772530924</v>
      </c>
      <c r="AL60" s="421">
        <f t="shared" si="33"/>
        <v>0.5134333834966246</v>
      </c>
      <c r="AM60" s="421">
        <f t="shared" si="33"/>
        <v>0.522291145652743</v>
      </c>
      <c r="AN60" s="421">
        <f t="shared" si="33"/>
        <v>0.5496198503952604</v>
      </c>
      <c r="AO60" s="429"/>
      <c r="AV60" s="429"/>
    </row>
    <row r="61" spans="3:40" ht="12.75" customHeight="1" thickBot="1">
      <c r="C61" s="300" t="s">
        <v>175</v>
      </c>
      <c r="D61" s="280"/>
      <c r="E61" s="280"/>
      <c r="F61" s="280"/>
      <c r="G61" s="280"/>
      <c r="H61" s="342"/>
      <c r="I61" s="342"/>
      <c r="J61" s="284"/>
      <c r="R61" s="288" t="s">
        <v>65</v>
      </c>
      <c r="S61" s="289" t="s">
        <v>127</v>
      </c>
      <c r="T61" s="288" t="s">
        <v>161</v>
      </c>
      <c r="U61" s="288" t="s">
        <v>199</v>
      </c>
      <c r="V61" s="288" t="s">
        <v>200</v>
      </c>
      <c r="W61" s="289" t="s">
        <v>197</v>
      </c>
      <c r="AI61" s="336"/>
      <c r="AJ61" s="392" t="s">
        <v>30</v>
      </c>
      <c r="AK61" s="422">
        <f t="shared" si="33"/>
        <v>0.5001474772530926</v>
      </c>
      <c r="AL61" s="422">
        <f t="shared" si="33"/>
        <v>0.5134333834966246</v>
      </c>
      <c r="AM61" s="422">
        <f t="shared" si="33"/>
        <v>0.5222911456527431</v>
      </c>
      <c r="AN61" s="422">
        <f t="shared" si="33"/>
        <v>0.5496198503952603</v>
      </c>
    </row>
    <row r="62" spans="3:40" ht="15" thickTop="1">
      <c r="C62" s="300" t="s">
        <v>10</v>
      </c>
      <c r="D62" s="302">
        <f>IF(AND(D59&lt;&gt;"",D67&lt;&gt;""),D67*D59,"")</f>
      </c>
      <c r="E62" s="302"/>
      <c r="F62" s="302">
        <f>IF(F55&lt;&gt;"",F53-F55,"")</f>
        <v>33.21655555555556</v>
      </c>
      <c r="G62" s="302"/>
      <c r="H62" s="426">
        <f>HLOOKUP($I$15,AQ33:AX38,3,FALSE)</f>
        <v>29.573010358974738</v>
      </c>
      <c r="I62" s="427">
        <f>H62*($D$53/$H$53)</f>
        <v>29.539347614490136</v>
      </c>
      <c r="R62" s="300" t="s">
        <v>11</v>
      </c>
      <c r="S62" s="301">
        <f>IF(OR(OR('3 Förutsättningar'!$I$45&lt;&gt;"",'3 Förutsättningar'!$I$46&lt;&gt;"",'3 Förutsättningar'!$I$47&lt;&gt;""),OR('3 Förutsättningar'!$G$45="",'3 Förutsättningar'!$G$46="",'3 Förutsättningar'!$G$47="",'3 Förutsättningar'!$H$45="",'3 Förutsättningar'!$H$46="",'3 Förutsättningar'!$H$47="")),"",'3 Förutsättningar'!$H$45)</f>
      </c>
      <c r="T62" s="342"/>
      <c r="U62" s="342"/>
      <c r="V62" s="342"/>
      <c r="W62" s="342"/>
      <c r="AI62" s="336"/>
      <c r="AJ62" s="336" t="s">
        <v>13</v>
      </c>
      <c r="AK62" s="421">
        <f t="shared" si="33"/>
        <v>0.5001474772530925</v>
      </c>
      <c r="AL62" s="421">
        <f t="shared" si="33"/>
        <v>0.5134333834966246</v>
      </c>
      <c r="AM62" s="421">
        <f t="shared" si="33"/>
        <v>0.5222911456527431</v>
      </c>
      <c r="AN62" s="421">
        <f t="shared" si="33"/>
        <v>0.5496198503952604</v>
      </c>
    </row>
    <row r="63" spans="3:23" ht="14.25">
      <c r="C63" s="295" t="s">
        <v>42</v>
      </c>
      <c r="D63" s="280"/>
      <c r="E63" s="280"/>
      <c r="F63" s="280"/>
      <c r="G63" s="280"/>
      <c r="H63" s="342"/>
      <c r="I63" s="342"/>
      <c r="R63" s="300" t="s">
        <v>9</v>
      </c>
      <c r="S63" s="301">
        <f>IF(OR(OR('3 Förutsättningar'!$I$45&lt;&gt;"",'3 Förutsättningar'!$I$46&lt;&gt;"",'3 Förutsättningar'!$I$47&lt;&gt;""),OR('3 Förutsättningar'!$G$45="",'3 Förutsättningar'!$G$46="",'3 Förutsättningar'!$G$47="",'3 Förutsättningar'!$H$45="",'3 Förutsättningar'!$H$46="",'3 Förutsättningar'!$H$47="")),"",'3 Förutsättningar'!$H$46)</f>
      </c>
      <c r="T63" s="342"/>
      <c r="U63" s="342"/>
      <c r="V63" s="342"/>
      <c r="W63" s="342"/>
    </row>
    <row r="64" spans="3:23" ht="14.25">
      <c r="C64" s="295" t="s">
        <v>59</v>
      </c>
      <c r="D64" s="384">
        <f>IF(OR('3 Förutsättningar'!I37="ORIMLIGT VÄRDE",'3 Förutsättningar'!H37=""),"",'3 Förutsättningar'!H37)</f>
      </c>
      <c r="E64" s="386">
        <f>IF(Kod!$I$10='Back Office'!$B$1,'Back Office'!B5,IF(Kod!$I$10='Back Office'!$C$1,'Back Office'!C5,IF(Kod!$I$10='Back Office'!$D$1,'Back Office'!D5,IF(Kod!$I$10='Back Office'!$E$1,'Back Office'!E5,IF(Kod!$I$10='Back Office'!$F$1,'Back Office'!F5,IF(Kod!$I$10='Back Office'!$G$1,'Back Office'!G5,IF(Kod!$I$10='Back Office'!$H$1,'Back Office'!H5,IF(Kod!$I$10='Back Office'!$I$1,'Back Office'!I5,""))))))))</f>
        <v>0.3</v>
      </c>
      <c r="F64" s="386">
        <f>IF(D64&lt;&gt;"",D64,E64)</f>
        <v>0.3</v>
      </c>
      <c r="G64" s="386"/>
      <c r="H64" s="430"/>
      <c r="I64" s="385">
        <f>I56/SUM(I56:I59)</f>
        <v>0.30797200387412865</v>
      </c>
      <c r="R64" s="300" t="s">
        <v>186</v>
      </c>
      <c r="S64" s="301">
        <f>IF(OR(OR('3 Förutsättningar'!$I$45&lt;&gt;"",'3 Förutsättningar'!$I$46&lt;&gt;"",'3 Förutsättningar'!$I$47&lt;&gt;""),OR('3 Förutsättningar'!$G$45="",'3 Förutsättningar'!$G$46="",'3 Förutsättningar'!$G$47="",'3 Förutsättningar'!$H$45="",'3 Förutsättningar'!$H$46="",'3 Förutsättningar'!$H$47="")),"",'3 Förutsättningar'!$H$47)</f>
      </c>
      <c r="T64" s="342"/>
      <c r="U64" s="342"/>
      <c r="V64" s="342"/>
      <c r="W64" s="342"/>
    </row>
    <row r="65" spans="3:23" ht="14.25">
      <c r="C65" s="300" t="s">
        <v>196</v>
      </c>
      <c r="D65" s="389">
        <f>IF(D64&lt;&gt;"",1-D64,"")</f>
      </c>
      <c r="E65" s="386"/>
      <c r="F65" s="385">
        <f>IF(F64&lt;&gt;"",1-F64,"")</f>
        <v>0.7</v>
      </c>
      <c r="G65" s="385"/>
      <c r="H65" s="280"/>
      <c r="I65" s="280"/>
      <c r="R65" s="300" t="s">
        <v>167</v>
      </c>
      <c r="S65" s="342"/>
      <c r="T65" s="342"/>
      <c r="U65" s="342"/>
      <c r="V65" s="342"/>
      <c r="W65" s="342"/>
    </row>
    <row r="66" spans="3:23" ht="14.25">
      <c r="C66" s="300" t="s">
        <v>85</v>
      </c>
      <c r="D66" s="391">
        <f>IF(AND(D65&lt;&gt;"",D67&lt;&gt;""),D67*D65,"")</f>
      </c>
      <c r="E66" s="391"/>
      <c r="F66" s="391">
        <f>IF(F67&lt;&gt;"",F67*F65,"")</f>
        <v>0.35</v>
      </c>
      <c r="G66" s="391"/>
      <c r="H66" s="280"/>
      <c r="I66" s="280"/>
      <c r="R66" s="300" t="s">
        <v>168</v>
      </c>
      <c r="S66" s="342"/>
      <c r="T66" s="342"/>
      <c r="U66" s="342"/>
      <c r="V66" s="342"/>
      <c r="W66" s="342"/>
    </row>
    <row r="67" spans="3:23" ht="14.25">
      <c r="C67" s="295" t="s">
        <v>91</v>
      </c>
      <c r="D67" s="394">
        <f>IF(OR('3 Förutsättningar'!I38="ORIMLIGT VÄRDE",'3 Förutsättningar'!H38=""),"",'3 Förutsättningar'!H38)</f>
      </c>
      <c r="E67" s="282">
        <f>IF(Kod!$I$10='Back Office'!$B$1,'Back Office'!B6,IF(Kod!$I$10='Back Office'!$C$1,'Back Office'!C6,IF(Kod!$I$10='Back Office'!$D$1,'Back Office'!D6,IF(Kod!$I$10='Back Office'!$E$1,'Back Office'!E6,IF(Kod!$I$10='Back Office'!$F$1,'Back Office'!F6,IF(Kod!$I$10='Back Office'!$G$1,'Back Office'!G6,IF(Kod!$I$10='Back Office'!$H$1,'Back Office'!H6,IF(Kod!$I$10='Back Office'!$I$1,'Back Office'!I6,""))))))))</f>
        <v>0.5</v>
      </c>
      <c r="F67" s="282">
        <f>IF(D67&lt;&gt;"",D67,E67)</f>
        <v>0.5</v>
      </c>
      <c r="G67" s="282"/>
      <c r="H67" s="391"/>
      <c r="I67" s="391">
        <f>I62/I59</f>
        <v>0.4329932657612168</v>
      </c>
      <c r="R67" s="300" t="s">
        <v>187</v>
      </c>
      <c r="S67" s="342"/>
      <c r="T67" s="342"/>
      <c r="U67" s="342"/>
      <c r="V67" s="342"/>
      <c r="W67" s="342"/>
    </row>
    <row r="68" spans="3:23" ht="14.25">
      <c r="C68" s="338" t="s">
        <v>140</v>
      </c>
      <c r="D68" s="280"/>
      <c r="E68" s="282"/>
      <c r="F68" s="280"/>
      <c r="G68" s="280"/>
      <c r="H68" s="280"/>
      <c r="I68" s="280"/>
      <c r="R68" s="300" t="s">
        <v>93</v>
      </c>
      <c r="S68" s="342"/>
      <c r="T68" s="342"/>
      <c r="U68" s="342"/>
      <c r="V68" s="342"/>
      <c r="W68" s="342"/>
    </row>
    <row r="69" spans="18:23" ht="14.25">
      <c r="R69" s="300" t="s">
        <v>94</v>
      </c>
      <c r="S69" s="342"/>
      <c r="T69" s="342"/>
      <c r="U69" s="342"/>
      <c r="V69" s="342"/>
      <c r="W69" s="342"/>
    </row>
    <row r="70" spans="18:23" ht="14.25">
      <c r="R70" s="300" t="s">
        <v>188</v>
      </c>
      <c r="S70" s="342"/>
      <c r="T70" s="342"/>
      <c r="U70" s="342"/>
      <c r="V70" s="342"/>
      <c r="W70" s="342"/>
    </row>
    <row r="71" spans="18:23" ht="14.25">
      <c r="R71" s="287" t="s">
        <v>13</v>
      </c>
      <c r="S71" s="289" t="s">
        <v>127</v>
      </c>
      <c r="T71" s="288" t="s">
        <v>161</v>
      </c>
      <c r="U71" s="288" t="s">
        <v>199</v>
      </c>
      <c r="V71" s="288" t="s">
        <v>200</v>
      </c>
      <c r="W71" s="289" t="s">
        <v>197</v>
      </c>
    </row>
    <row r="72" spans="18:23" ht="14.25">
      <c r="R72" s="300" t="s">
        <v>11</v>
      </c>
      <c r="S72" s="431"/>
      <c r="T72" s="289"/>
      <c r="U72" s="280"/>
      <c r="V72" s="338"/>
      <c r="W72" s="297">
        <f>W3+W42</f>
        <v>1.008219723653229</v>
      </c>
    </row>
    <row r="73" spans="18:23" ht="14.25">
      <c r="R73" s="300" t="s">
        <v>9</v>
      </c>
      <c r="S73" s="289"/>
      <c r="T73" s="289"/>
      <c r="U73" s="280"/>
      <c r="V73" s="338"/>
      <c r="W73" s="297">
        <f>W4+W43</f>
        <v>2.329274846476478</v>
      </c>
    </row>
    <row r="74" spans="18:23" ht="14.25">
      <c r="R74" s="300" t="s">
        <v>10</v>
      </c>
      <c r="S74" s="289"/>
      <c r="T74" s="289"/>
      <c r="U74" s="280"/>
      <c r="V74" s="338"/>
      <c r="W74" s="297">
        <f>W6+W44</f>
        <v>1.6654872073754157</v>
      </c>
    </row>
    <row r="78" ht="12" customHeight="1"/>
    <row r="85" ht="14.25">
      <c r="AV85" s="294"/>
    </row>
    <row r="86" ht="14.25">
      <c r="AV86" s="294"/>
    </row>
    <row r="87" ht="14.25">
      <c r="AV87" s="294"/>
    </row>
    <row r="89" spans="22:23" ht="14.25">
      <c r="V89" s="277"/>
      <c r="W89" s="277"/>
    </row>
    <row r="90" spans="18:48" s="278" customFormat="1" ht="12.75">
      <c r="R90" s="281"/>
      <c r="S90" s="281"/>
      <c r="T90" s="281"/>
      <c r="U90" s="281"/>
      <c r="V90" s="294"/>
      <c r="W90" s="294"/>
      <c r="AV90" s="281"/>
    </row>
    <row r="91" spans="22:48" ht="14.25">
      <c r="V91" s="294"/>
      <c r="W91" s="294"/>
      <c r="AV91" s="429"/>
    </row>
    <row r="92" spans="22:48" ht="14.25">
      <c r="V92" s="294"/>
      <c r="W92" s="294"/>
      <c r="AV92" s="429"/>
    </row>
    <row r="93" ht="14.25">
      <c r="AV93" s="429"/>
    </row>
    <row r="94" ht="14.25">
      <c r="AV94" s="286"/>
    </row>
    <row r="95" ht="14.25">
      <c r="AV95" s="409"/>
    </row>
    <row r="96" spans="22:48" ht="14.25">
      <c r="V96" s="429"/>
      <c r="W96" s="429"/>
      <c r="AV96" s="409"/>
    </row>
    <row r="97" spans="22:48" ht="14.25">
      <c r="V97" s="429"/>
      <c r="W97" s="429"/>
      <c r="AV97" s="409"/>
    </row>
    <row r="98" spans="22:48" ht="14.25">
      <c r="V98" s="429"/>
      <c r="W98" s="429"/>
      <c r="AV98" s="409"/>
    </row>
    <row r="99" spans="22:48" ht="14.25">
      <c r="V99" s="286"/>
      <c r="W99" s="286"/>
      <c r="AV99" s="409"/>
    </row>
    <row r="100" spans="22:48" ht="14.25">
      <c r="V100" s="409"/>
      <c r="W100" s="409"/>
      <c r="AV100" s="409"/>
    </row>
    <row r="101" spans="22:48" ht="14.25">
      <c r="V101" s="409"/>
      <c r="W101" s="409"/>
      <c r="AV101" s="409"/>
    </row>
    <row r="102" spans="22:48" ht="14.25">
      <c r="V102" s="409"/>
      <c r="W102" s="409"/>
      <c r="AV102" s="409"/>
    </row>
    <row r="103" spans="22:48" ht="14.25">
      <c r="V103" s="409"/>
      <c r="W103" s="409"/>
      <c r="AV103" s="409"/>
    </row>
    <row r="104" spans="22:48" ht="14.25">
      <c r="V104" s="409"/>
      <c r="W104" s="409"/>
      <c r="AV104" s="409"/>
    </row>
    <row r="105" spans="22:48" ht="14.25">
      <c r="V105" s="409"/>
      <c r="W105" s="409"/>
      <c r="AV105" s="409"/>
    </row>
    <row r="106" spans="22:48" ht="14.25">
      <c r="V106" s="409"/>
      <c r="W106" s="409"/>
      <c r="AV106" s="409"/>
    </row>
    <row r="107" spans="22:48" ht="14.25">
      <c r="V107" s="409"/>
      <c r="W107" s="409"/>
      <c r="AV107" s="409"/>
    </row>
    <row r="108" spans="22:48" ht="14.25">
      <c r="V108" s="409"/>
      <c r="W108" s="409"/>
      <c r="AO108" s="409"/>
      <c r="AV108" s="409"/>
    </row>
    <row r="109" spans="22:48" ht="14.25">
      <c r="V109" s="409"/>
      <c r="W109" s="409"/>
      <c r="AO109" s="409"/>
      <c r="AV109" s="409"/>
    </row>
    <row r="110" spans="22:48" ht="14.25">
      <c r="V110" s="409"/>
      <c r="W110" s="409"/>
      <c r="AO110" s="409"/>
      <c r="AV110" s="409"/>
    </row>
    <row r="111" spans="22:48" ht="14.25">
      <c r="V111" s="409"/>
      <c r="W111" s="409"/>
      <c r="AO111" s="409"/>
      <c r="AV111" s="409"/>
    </row>
    <row r="112" spans="22:48" ht="14.25">
      <c r="V112" s="409"/>
      <c r="W112" s="409"/>
      <c r="AO112" s="409"/>
      <c r="AV112" s="409"/>
    </row>
    <row r="113" spans="22:23" ht="14.25">
      <c r="V113" s="409"/>
      <c r="W113" s="409"/>
    </row>
    <row r="114" spans="22:23" ht="14.25">
      <c r="V114" s="409"/>
      <c r="W114" s="409"/>
    </row>
    <row r="115" spans="22:23" ht="14.25">
      <c r="V115" s="409"/>
      <c r="W115" s="409"/>
    </row>
    <row r="116" spans="19:48" ht="14.25">
      <c r="S116" s="409"/>
      <c r="T116" s="409"/>
      <c r="U116" s="409"/>
      <c r="V116" s="409"/>
      <c r="W116" s="409"/>
      <c r="AO116" s="277"/>
      <c r="AV116" s="277"/>
    </row>
    <row r="117" spans="19:48" ht="14.25">
      <c r="S117" s="409"/>
      <c r="T117" s="409"/>
      <c r="U117" s="409"/>
      <c r="V117" s="409"/>
      <c r="W117" s="409"/>
      <c r="AO117" s="294"/>
      <c r="AV117" s="294"/>
    </row>
    <row r="118" spans="19:48" ht="14.25">
      <c r="S118" s="409"/>
      <c r="T118" s="409"/>
      <c r="U118" s="409"/>
      <c r="V118" s="409"/>
      <c r="W118" s="409"/>
      <c r="AO118" s="294"/>
      <c r="AV118" s="294"/>
    </row>
    <row r="119" spans="41:48" ht="14.25">
      <c r="AO119" s="294"/>
      <c r="AV119" s="294"/>
    </row>
    <row r="122" spans="18:23" ht="14.25">
      <c r="R122" s="277"/>
      <c r="S122" s="277"/>
      <c r="T122" s="277"/>
      <c r="U122" s="277"/>
      <c r="V122" s="277"/>
      <c r="W122" s="277"/>
    </row>
    <row r="123" spans="18:23" ht="14.25">
      <c r="R123" s="294"/>
      <c r="S123" s="294"/>
      <c r="T123" s="294"/>
      <c r="U123" s="294"/>
      <c r="V123" s="294"/>
      <c r="W123" s="294"/>
    </row>
    <row r="124" spans="18:23" ht="14.25">
      <c r="R124" s="294"/>
      <c r="S124" s="294"/>
      <c r="T124" s="294"/>
      <c r="U124" s="294"/>
      <c r="V124" s="294"/>
      <c r="W124" s="294"/>
    </row>
    <row r="125" spans="18:23" ht="14.25">
      <c r="R125" s="294"/>
      <c r="S125" s="294"/>
      <c r="T125" s="294"/>
      <c r="U125" s="294"/>
      <c r="V125" s="294"/>
      <c r="W125" s="294"/>
    </row>
  </sheetData>
  <sheetProtection sheet="1" selectLockedCells="1" selectUnlockedCells="1"/>
  <conditionalFormatting sqref="BN2">
    <cfRule type="cellIs" priority="31" dxfId="49" operator="equal" stopIfTrue="1">
      <formula>"nej"</formula>
    </cfRule>
  </conditionalFormatting>
  <conditionalFormatting sqref="L3 D7:D9 D41:D43 D11 D17:D18 D54 D3:D5">
    <cfRule type="expression" priority="165" dxfId="72" stopIfTrue="1">
      <formula>Kod!#REF!=""</formula>
    </cfRule>
  </conditionalFormatting>
  <conditionalFormatting sqref="D14">
    <cfRule type="expression" priority="8" dxfId="72" stopIfTrue="1">
      <formula>Kod!#REF!=""</formula>
    </cfRule>
  </conditionalFormatting>
  <conditionalFormatting sqref="Z5:AG5">
    <cfRule type="cellIs" priority="199" dxfId="73" operator="equal" stopIfTrue="1">
      <formula>$F$24</formula>
    </cfRule>
  </conditionalFormatting>
  <conditionalFormatting sqref="Z7:AG7">
    <cfRule type="cellIs" priority="200" dxfId="74" operator="equal" stopIfTrue="1">
      <formula>$F$27</formula>
    </cfRule>
  </conditionalFormatting>
  <conditionalFormatting sqref="Z9:AG9">
    <cfRule type="cellIs" priority="201" dxfId="74" operator="equal" stopIfTrue="1">
      <formula>$F$30</formula>
    </cfRule>
  </conditionalFormatting>
  <conditionalFormatting sqref="D49">
    <cfRule type="expression" priority="5" dxfId="72" stopIfTrue="1">
      <formula>Kod!#REF!=""</formula>
    </cfRule>
  </conditionalFormatting>
  <conditionalFormatting sqref="AQ19:BB19">
    <cfRule type="cellIs" priority="208" dxfId="75" operator="equal" stopIfTrue="1">
      <formula>$H$56</formula>
    </cfRule>
  </conditionalFormatting>
  <conditionalFormatting sqref="AQ27:BB27">
    <cfRule type="cellIs" priority="209" dxfId="75" operator="equal" stopIfTrue="1">
      <formula>$H$59</formula>
    </cfRule>
  </conditionalFormatting>
  <conditionalFormatting sqref="AQ35:AX35">
    <cfRule type="cellIs" priority="210" dxfId="75" operator="equal" stopIfTrue="1">
      <formula>$H$62</formula>
    </cfRule>
  </conditionalFormatting>
  <conditionalFormatting sqref="N3">
    <cfRule type="expression" priority="4" dxfId="72" stopIfTrue="1">
      <formula>Kod!#REF!=""</formula>
    </cfRule>
  </conditionalFormatting>
  <conditionalFormatting sqref="E8">
    <cfRule type="expression" priority="3" dxfId="72" stopIfTrue="1">
      <formula>Kod!#REF!=""</formula>
    </cfRule>
  </conditionalFormatting>
  <conditionalFormatting sqref="E11">
    <cfRule type="expression" priority="2" dxfId="72" stopIfTrue="1">
      <formula>Kod!#REF!=""</formula>
    </cfRule>
  </conditionalFormatting>
  <conditionalFormatting sqref="E9">
    <cfRule type="expression" priority="1" dxfId="72" stopIfTrue="1">
      <formula>Kod!#REF!=""</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I42"/>
  <sheetViews>
    <sheetView zoomScale="75" zoomScaleNormal="75" zoomScalePageLayoutView="0" workbookViewId="0" topLeftCell="A1">
      <selection activeCell="A43" sqref="A43"/>
    </sheetView>
  </sheetViews>
  <sheetFormatPr defaultColWidth="9.00390625" defaultRowHeight="14.25"/>
  <cols>
    <col min="1" max="1" width="47.75390625" style="70" customWidth="1"/>
    <col min="2" max="9" width="11.375" style="70" customWidth="1"/>
    <col min="10" max="16384" width="9.00390625" style="70" customWidth="1"/>
  </cols>
  <sheetData>
    <row r="1" spans="1:9" ht="12.75">
      <c r="A1" s="21" t="s">
        <v>214</v>
      </c>
      <c r="B1" s="20">
        <v>100</v>
      </c>
      <c r="C1" s="20">
        <v>110</v>
      </c>
      <c r="D1" s="20">
        <v>101</v>
      </c>
      <c r="E1" s="20">
        <v>111</v>
      </c>
      <c r="F1" s="20">
        <v>200</v>
      </c>
      <c r="G1" s="20">
        <v>210</v>
      </c>
      <c r="H1" s="20">
        <v>201</v>
      </c>
      <c r="I1" s="20">
        <v>211</v>
      </c>
    </row>
    <row r="2" spans="1:9" ht="12.75">
      <c r="A2" s="22" t="s">
        <v>104</v>
      </c>
      <c r="B2" s="129">
        <v>0.52</v>
      </c>
      <c r="C2" s="129">
        <v>0.52</v>
      </c>
      <c r="D2" s="129">
        <v>0.52</v>
      </c>
      <c r="E2" s="129">
        <v>0.52</v>
      </c>
      <c r="F2" s="129">
        <v>0.52</v>
      </c>
      <c r="G2" s="129">
        <v>0.52</v>
      </c>
      <c r="H2" s="129">
        <v>0.52</v>
      </c>
      <c r="I2" s="129">
        <v>0.52</v>
      </c>
    </row>
    <row r="3" spans="1:9" ht="12.75">
      <c r="A3" s="22" t="s">
        <v>101</v>
      </c>
      <c r="B3" s="129">
        <v>0.35</v>
      </c>
      <c r="C3" s="129">
        <v>0.35</v>
      </c>
      <c r="D3" s="129">
        <v>0.35</v>
      </c>
      <c r="E3" s="129">
        <v>0.35</v>
      </c>
      <c r="F3" s="129">
        <v>0.35</v>
      </c>
      <c r="G3" s="129">
        <v>0.35</v>
      </c>
      <c r="H3" s="129">
        <v>0.35</v>
      </c>
      <c r="I3" s="129">
        <v>0.35</v>
      </c>
    </row>
    <row r="4" spans="1:9" ht="12.75">
      <c r="A4" s="22" t="s">
        <v>102</v>
      </c>
      <c r="B4" s="130">
        <v>0.694</v>
      </c>
      <c r="C4" s="130">
        <v>0.634</v>
      </c>
      <c r="D4" s="130">
        <v>0.66</v>
      </c>
      <c r="E4" s="130">
        <v>0.63</v>
      </c>
      <c r="F4" s="130">
        <v>0.694</v>
      </c>
      <c r="G4" s="130">
        <v>0.634</v>
      </c>
      <c r="H4" s="130">
        <v>0.66</v>
      </c>
      <c r="I4" s="130">
        <v>0.63</v>
      </c>
    </row>
    <row r="5" spans="1:9" ht="12.75">
      <c r="A5" s="22" t="s">
        <v>103</v>
      </c>
      <c r="B5" s="129">
        <v>0.3</v>
      </c>
      <c r="C5" s="129">
        <v>0.3</v>
      </c>
      <c r="D5" s="129">
        <v>0.3</v>
      </c>
      <c r="E5" s="129">
        <v>0.3</v>
      </c>
      <c r="F5" s="129">
        <v>0.3</v>
      </c>
      <c r="G5" s="129">
        <v>0.3</v>
      </c>
      <c r="H5" s="129">
        <v>0.3</v>
      </c>
      <c r="I5" s="129">
        <v>0.3</v>
      </c>
    </row>
    <row r="6" spans="1:9" ht="12.75">
      <c r="A6" s="22" t="s">
        <v>105</v>
      </c>
      <c r="B6" s="130">
        <v>0.5</v>
      </c>
      <c r="C6" s="130">
        <v>0.5</v>
      </c>
      <c r="D6" s="130">
        <v>0.5</v>
      </c>
      <c r="E6" s="130">
        <v>0.5</v>
      </c>
      <c r="F6" s="130">
        <v>0.5</v>
      </c>
      <c r="G6" s="130">
        <v>0.5</v>
      </c>
      <c r="H6" s="130">
        <v>0.5</v>
      </c>
      <c r="I6" s="130">
        <v>0.5</v>
      </c>
    </row>
    <row r="7" spans="1:9" ht="12.75">
      <c r="A7" s="71" t="s">
        <v>99</v>
      </c>
      <c r="B7" s="131">
        <v>0.03</v>
      </c>
      <c r="C7" s="131">
        <v>0.03</v>
      </c>
      <c r="D7" s="131">
        <v>0.03</v>
      </c>
      <c r="E7" s="131">
        <v>0.03</v>
      </c>
      <c r="F7" s="131">
        <v>0.03</v>
      </c>
      <c r="G7" s="131">
        <v>0.03</v>
      </c>
      <c r="H7" s="131">
        <v>0.03</v>
      </c>
      <c r="I7" s="131">
        <v>0.03</v>
      </c>
    </row>
    <row r="8" spans="1:9" ht="12.75">
      <c r="A8" s="71" t="s">
        <v>100</v>
      </c>
      <c r="B8" s="131">
        <v>0.03</v>
      </c>
      <c r="C8" s="131">
        <v>0.03</v>
      </c>
      <c r="D8" s="131">
        <v>0.03</v>
      </c>
      <c r="E8" s="131">
        <v>0.03</v>
      </c>
      <c r="F8" s="131">
        <v>0.03</v>
      </c>
      <c r="G8" s="131">
        <v>0.03</v>
      </c>
      <c r="H8" s="131">
        <v>0.03</v>
      </c>
      <c r="I8" s="131">
        <v>0.03</v>
      </c>
    </row>
    <row r="9" spans="1:9" ht="12.75">
      <c r="A9" s="71" t="s">
        <v>131</v>
      </c>
      <c r="B9" s="131">
        <v>0.05</v>
      </c>
      <c r="C9" s="131">
        <v>0.05</v>
      </c>
      <c r="D9" s="131">
        <v>0.05</v>
      </c>
      <c r="E9" s="131">
        <v>0.05</v>
      </c>
      <c r="F9" s="131">
        <v>0.05</v>
      </c>
      <c r="G9" s="131">
        <v>0.05</v>
      </c>
      <c r="H9" s="131">
        <v>0.05</v>
      </c>
      <c r="I9" s="131">
        <v>0.05</v>
      </c>
    </row>
    <row r="10" spans="1:9" ht="12.75">
      <c r="A10" s="21" t="s">
        <v>213</v>
      </c>
      <c r="B10" s="20">
        <f aca="true" t="shared" si="0" ref="B10:I10">B1</f>
        <v>100</v>
      </c>
      <c r="C10" s="20">
        <f t="shared" si="0"/>
        <v>110</v>
      </c>
      <c r="D10" s="20">
        <f t="shared" si="0"/>
        <v>101</v>
      </c>
      <c r="E10" s="20">
        <f t="shared" si="0"/>
        <v>111</v>
      </c>
      <c r="F10" s="20">
        <f t="shared" si="0"/>
        <v>200</v>
      </c>
      <c r="G10" s="20">
        <f t="shared" si="0"/>
        <v>210</v>
      </c>
      <c r="H10" s="20">
        <f t="shared" si="0"/>
        <v>201</v>
      </c>
      <c r="I10" s="20">
        <f t="shared" si="0"/>
        <v>211</v>
      </c>
    </row>
    <row r="11" spans="1:9" ht="12.75">
      <c r="A11" s="72" t="s">
        <v>71</v>
      </c>
      <c r="B11" s="132">
        <v>0.5</v>
      </c>
      <c r="C11" s="132">
        <v>0.5</v>
      </c>
      <c r="D11" s="132">
        <v>0.5</v>
      </c>
      <c r="E11" s="132">
        <v>0.5</v>
      </c>
      <c r="F11" s="132">
        <v>0.5</v>
      </c>
      <c r="G11" s="132">
        <v>0.5</v>
      </c>
      <c r="H11" s="132">
        <v>0.5</v>
      </c>
      <c r="I11" s="132">
        <v>0.5</v>
      </c>
    </row>
    <row r="12" spans="1:9" ht="12.75">
      <c r="A12" s="73" t="s">
        <v>72</v>
      </c>
      <c r="B12" s="133">
        <f>0.5+6.8</f>
        <v>7.3</v>
      </c>
      <c r="C12" s="133">
        <f aca="true" t="shared" si="1" ref="C12:I12">0.5+6.8</f>
        <v>7.3</v>
      </c>
      <c r="D12" s="133">
        <f t="shared" si="1"/>
        <v>7.3</v>
      </c>
      <c r="E12" s="133">
        <f t="shared" si="1"/>
        <v>7.3</v>
      </c>
      <c r="F12" s="133">
        <f>0.5+6.8</f>
        <v>7.3</v>
      </c>
      <c r="G12" s="133">
        <f t="shared" si="1"/>
        <v>7.3</v>
      </c>
      <c r="H12" s="133">
        <f t="shared" si="1"/>
        <v>7.3</v>
      </c>
      <c r="I12" s="133">
        <f t="shared" si="1"/>
        <v>7.3</v>
      </c>
    </row>
    <row r="13" spans="1:9" ht="12.75">
      <c r="A13" s="73" t="s">
        <v>218</v>
      </c>
      <c r="B13" s="132">
        <f>6.8/(0.5+6.8)</f>
        <v>0.9315068493150684</v>
      </c>
      <c r="C13" s="132">
        <f aca="true" t="shared" si="2" ref="C13:I13">6.8/(0.5+6.8)</f>
        <v>0.9315068493150684</v>
      </c>
      <c r="D13" s="132">
        <f t="shared" si="2"/>
        <v>0.9315068493150684</v>
      </c>
      <c r="E13" s="132">
        <f t="shared" si="2"/>
        <v>0.9315068493150684</v>
      </c>
      <c r="F13" s="132">
        <f>6.8/(0.5+6.8)</f>
        <v>0.9315068493150684</v>
      </c>
      <c r="G13" s="132">
        <f t="shared" si="2"/>
        <v>0.9315068493150684</v>
      </c>
      <c r="H13" s="132">
        <f t="shared" si="2"/>
        <v>0.9315068493150684</v>
      </c>
      <c r="I13" s="132">
        <f t="shared" si="2"/>
        <v>0.9315068493150684</v>
      </c>
    </row>
    <row r="14" spans="1:9" ht="12.75">
      <c r="A14" s="73" t="s">
        <v>219</v>
      </c>
      <c r="B14" s="132">
        <f aca="true" t="shared" si="3" ref="B14:I14">(1-B13)*0.7</f>
        <v>0.04794520547945209</v>
      </c>
      <c r="C14" s="132">
        <f t="shared" si="3"/>
        <v>0.04794520547945209</v>
      </c>
      <c r="D14" s="132">
        <f t="shared" si="3"/>
        <v>0.04794520547945209</v>
      </c>
      <c r="E14" s="132">
        <f t="shared" si="3"/>
        <v>0.04794520547945209</v>
      </c>
      <c r="F14" s="132">
        <f t="shared" si="3"/>
        <v>0.04794520547945209</v>
      </c>
      <c r="G14" s="132">
        <f t="shared" si="3"/>
        <v>0.04794520547945209</v>
      </c>
      <c r="H14" s="132">
        <f t="shared" si="3"/>
        <v>0.04794520547945209</v>
      </c>
      <c r="I14" s="132">
        <f t="shared" si="3"/>
        <v>0.04794520547945209</v>
      </c>
    </row>
    <row r="15" spans="1:9" ht="12.75">
      <c r="A15" s="73" t="s">
        <v>75</v>
      </c>
      <c r="B15" s="132">
        <v>0.95</v>
      </c>
      <c r="C15" s="132">
        <v>0.95</v>
      </c>
      <c r="D15" s="132">
        <v>0.95</v>
      </c>
      <c r="E15" s="132">
        <v>0.95</v>
      </c>
      <c r="F15" s="132">
        <v>0.95</v>
      </c>
      <c r="G15" s="132">
        <v>0.95</v>
      </c>
      <c r="H15" s="132">
        <v>0.95</v>
      </c>
      <c r="I15" s="132">
        <v>0.95</v>
      </c>
    </row>
    <row r="16" spans="1:9" ht="12.75">
      <c r="A16" s="183" t="s">
        <v>222</v>
      </c>
      <c r="B16" s="20">
        <f>B1</f>
        <v>100</v>
      </c>
      <c r="C16" s="20">
        <f aca="true" t="shared" si="4" ref="C16:I16">C1</f>
        <v>110</v>
      </c>
      <c r="D16" s="20">
        <f t="shared" si="4"/>
        <v>101</v>
      </c>
      <c r="E16" s="20">
        <f t="shared" si="4"/>
        <v>111</v>
      </c>
      <c r="F16" s="20">
        <f t="shared" si="4"/>
        <v>200</v>
      </c>
      <c r="G16" s="20">
        <f t="shared" si="4"/>
        <v>210</v>
      </c>
      <c r="H16" s="20">
        <f t="shared" si="4"/>
        <v>201</v>
      </c>
      <c r="I16" s="20">
        <f t="shared" si="4"/>
        <v>211</v>
      </c>
    </row>
    <row r="17" spans="1:9" ht="12.75">
      <c r="A17" s="170" t="s">
        <v>112</v>
      </c>
      <c r="B17" s="133">
        <v>61</v>
      </c>
      <c r="C17" s="133">
        <v>61</v>
      </c>
      <c r="D17" s="133">
        <v>61</v>
      </c>
      <c r="E17" s="133">
        <v>61</v>
      </c>
      <c r="F17" s="133">
        <v>61</v>
      </c>
      <c r="G17" s="133">
        <v>61</v>
      </c>
      <c r="H17" s="133">
        <v>61</v>
      </c>
      <c r="I17" s="133">
        <v>61</v>
      </c>
    </row>
    <row r="18" spans="1:9" ht="12.75">
      <c r="A18" s="171" t="s">
        <v>220</v>
      </c>
      <c r="B18" s="132">
        <v>0.9</v>
      </c>
      <c r="C18" s="132">
        <v>0.9</v>
      </c>
      <c r="D18" s="132">
        <v>0.9</v>
      </c>
      <c r="E18" s="132">
        <v>0.9</v>
      </c>
      <c r="F18" s="132">
        <v>0.9</v>
      </c>
      <c r="G18" s="132">
        <v>0.9</v>
      </c>
      <c r="H18" s="132">
        <v>0.9</v>
      </c>
      <c r="I18" s="132">
        <v>0.9</v>
      </c>
    </row>
    <row r="19" spans="1:9" ht="12.75">
      <c r="A19" s="171" t="s">
        <v>217</v>
      </c>
      <c r="B19" s="132">
        <v>0.1</v>
      </c>
      <c r="C19" s="132">
        <v>0.1</v>
      </c>
      <c r="D19" s="132">
        <v>0.1</v>
      </c>
      <c r="E19" s="132">
        <v>0.1</v>
      </c>
      <c r="F19" s="132">
        <v>0.1</v>
      </c>
      <c r="G19" s="132">
        <v>0.1</v>
      </c>
      <c r="H19" s="132">
        <v>0.1</v>
      </c>
      <c r="I19" s="132">
        <v>0.1</v>
      </c>
    </row>
    <row r="20" spans="1:9" ht="12.75">
      <c r="A20" s="171" t="s">
        <v>228</v>
      </c>
      <c r="B20" s="132">
        <v>0</v>
      </c>
      <c r="C20" s="132">
        <v>0</v>
      </c>
      <c r="D20" s="132">
        <v>0</v>
      </c>
      <c r="E20" s="132">
        <v>0</v>
      </c>
      <c r="F20" s="132">
        <v>0</v>
      </c>
      <c r="G20" s="132">
        <v>0</v>
      </c>
      <c r="H20" s="132">
        <v>0</v>
      </c>
      <c r="I20" s="132">
        <v>0</v>
      </c>
    </row>
    <row r="21" spans="1:9" ht="12.75">
      <c r="A21" s="171" t="s">
        <v>229</v>
      </c>
      <c r="B21" s="132">
        <v>0</v>
      </c>
      <c r="C21" s="132">
        <v>0</v>
      </c>
      <c r="D21" s="132">
        <v>0</v>
      </c>
      <c r="E21" s="132">
        <v>0</v>
      </c>
      <c r="F21" s="132">
        <v>0</v>
      </c>
      <c r="G21" s="132">
        <v>0</v>
      </c>
      <c r="H21" s="132">
        <v>0</v>
      </c>
      <c r="I21" s="132">
        <v>0</v>
      </c>
    </row>
    <row r="22" spans="1:9" ht="12.75">
      <c r="A22" s="171" t="s">
        <v>226</v>
      </c>
      <c r="B22" s="186">
        <f>B30*0.7+0.52*0.3</f>
        <v>0.667</v>
      </c>
      <c r="C22" s="186">
        <f aca="true" t="shared" si="5" ref="C22:I22">C30*0.7+0.52*0.3</f>
        <v>0.667</v>
      </c>
      <c r="D22" s="186">
        <f t="shared" si="5"/>
        <v>0.667</v>
      </c>
      <c r="E22" s="186">
        <f t="shared" si="5"/>
        <v>0.667</v>
      </c>
      <c r="F22" s="186">
        <f t="shared" si="5"/>
        <v>0.667</v>
      </c>
      <c r="G22" s="186">
        <f t="shared" si="5"/>
        <v>0.667</v>
      </c>
      <c r="H22" s="186">
        <f t="shared" si="5"/>
        <v>0.667</v>
      </c>
      <c r="I22" s="186">
        <f t="shared" si="5"/>
        <v>0.667</v>
      </c>
    </row>
    <row r="23" spans="1:9" ht="12.75">
      <c r="A23" s="171" t="s">
        <v>227</v>
      </c>
      <c r="B23" s="186">
        <f>1-B22</f>
        <v>0.33299999999999996</v>
      </c>
      <c r="C23" s="186">
        <f aca="true" t="shared" si="6" ref="C23:I23">1-C22</f>
        <v>0.33299999999999996</v>
      </c>
      <c r="D23" s="186">
        <f t="shared" si="6"/>
        <v>0.33299999999999996</v>
      </c>
      <c r="E23" s="186">
        <f t="shared" si="6"/>
        <v>0.33299999999999996</v>
      </c>
      <c r="F23" s="186">
        <f t="shared" si="6"/>
        <v>0.33299999999999996</v>
      </c>
      <c r="G23" s="186">
        <f t="shared" si="6"/>
        <v>0.33299999999999996</v>
      </c>
      <c r="H23" s="186">
        <f t="shared" si="6"/>
        <v>0.33299999999999996</v>
      </c>
      <c r="I23" s="186">
        <f t="shared" si="6"/>
        <v>0.33299999999999996</v>
      </c>
    </row>
    <row r="24" spans="1:9" ht="12.75">
      <c r="A24" s="183" t="s">
        <v>223</v>
      </c>
      <c r="B24" s="20">
        <f aca="true" t="shared" si="7" ref="B24:I24">B1</f>
        <v>100</v>
      </c>
      <c r="C24" s="20">
        <f t="shared" si="7"/>
        <v>110</v>
      </c>
      <c r="D24" s="20">
        <f t="shared" si="7"/>
        <v>101</v>
      </c>
      <c r="E24" s="20">
        <f t="shared" si="7"/>
        <v>111</v>
      </c>
      <c r="F24" s="20">
        <f t="shared" si="7"/>
        <v>200</v>
      </c>
      <c r="G24" s="20">
        <f t="shared" si="7"/>
        <v>210</v>
      </c>
      <c r="H24" s="20">
        <f t="shared" si="7"/>
        <v>201</v>
      </c>
      <c r="I24" s="20">
        <f t="shared" si="7"/>
        <v>211</v>
      </c>
    </row>
    <row r="25" spans="1:9" ht="12.75">
      <c r="A25" s="170" t="s">
        <v>112</v>
      </c>
      <c r="B25" s="133">
        <v>59</v>
      </c>
      <c r="C25" s="133">
        <v>59</v>
      </c>
      <c r="D25" s="133">
        <v>59</v>
      </c>
      <c r="E25" s="133">
        <v>59</v>
      </c>
      <c r="F25" s="133">
        <v>59</v>
      </c>
      <c r="G25" s="133">
        <v>59</v>
      </c>
      <c r="H25" s="133">
        <v>59</v>
      </c>
      <c r="I25" s="133">
        <v>59</v>
      </c>
    </row>
    <row r="26" spans="1:9" ht="12.75">
      <c r="A26" s="171" t="s">
        <v>220</v>
      </c>
      <c r="B26" s="182">
        <v>0.74</v>
      </c>
      <c r="C26" s="182">
        <v>0.74</v>
      </c>
      <c r="D26" s="182">
        <v>0.74</v>
      </c>
      <c r="E26" s="182">
        <v>0.74</v>
      </c>
      <c r="F26" s="182">
        <v>0.74</v>
      </c>
      <c r="G26" s="182">
        <v>0.74</v>
      </c>
      <c r="H26" s="182">
        <v>0.74</v>
      </c>
      <c r="I26" s="182">
        <v>0.74</v>
      </c>
    </row>
    <row r="27" spans="1:9" ht="12.75">
      <c r="A27" s="171" t="s">
        <v>217</v>
      </c>
      <c r="B27" s="132">
        <v>0.12</v>
      </c>
      <c r="C27" s="132">
        <v>0.12</v>
      </c>
      <c r="D27" s="132">
        <v>0.12</v>
      </c>
      <c r="E27" s="132">
        <v>0.12</v>
      </c>
      <c r="F27" s="132">
        <v>0.12</v>
      </c>
      <c r="G27" s="132">
        <v>0.12</v>
      </c>
      <c r="H27" s="132">
        <v>0.12</v>
      </c>
      <c r="I27" s="132">
        <v>0.12</v>
      </c>
    </row>
    <row r="28" spans="1:9" ht="12.75">
      <c r="A28" s="171" t="s">
        <v>228</v>
      </c>
      <c r="B28" s="132">
        <f>(1-(B26+B27))*B30</f>
        <v>0.10220000000000001</v>
      </c>
      <c r="C28" s="132">
        <f aca="true" t="shared" si="8" ref="C28:I28">(1-(C26+C27))*C30</f>
        <v>0.10220000000000001</v>
      </c>
      <c r="D28" s="132">
        <f t="shared" si="8"/>
        <v>0.10220000000000001</v>
      </c>
      <c r="E28" s="132">
        <f t="shared" si="8"/>
        <v>0.10220000000000001</v>
      </c>
      <c r="F28" s="132">
        <f t="shared" si="8"/>
        <v>0.10220000000000001</v>
      </c>
      <c r="G28" s="132">
        <f t="shared" si="8"/>
        <v>0.10220000000000001</v>
      </c>
      <c r="H28" s="132">
        <f t="shared" si="8"/>
        <v>0.10220000000000001</v>
      </c>
      <c r="I28" s="132">
        <f t="shared" si="8"/>
        <v>0.10220000000000001</v>
      </c>
    </row>
    <row r="29" spans="1:9" ht="12.75">
      <c r="A29" s="171" t="s">
        <v>229</v>
      </c>
      <c r="B29" s="132">
        <f aca="true" t="shared" si="9" ref="B29:I29">(1-(B26+B27+B28))</f>
        <v>0.037800000000000056</v>
      </c>
      <c r="C29" s="132">
        <f t="shared" si="9"/>
        <v>0.037800000000000056</v>
      </c>
      <c r="D29" s="132">
        <f t="shared" si="9"/>
        <v>0.037800000000000056</v>
      </c>
      <c r="E29" s="132">
        <f t="shared" si="9"/>
        <v>0.037800000000000056</v>
      </c>
      <c r="F29" s="132">
        <f t="shared" si="9"/>
        <v>0.037800000000000056</v>
      </c>
      <c r="G29" s="132">
        <f t="shared" si="9"/>
        <v>0.037800000000000056</v>
      </c>
      <c r="H29" s="132">
        <f t="shared" si="9"/>
        <v>0.037800000000000056</v>
      </c>
      <c r="I29" s="132">
        <f t="shared" si="9"/>
        <v>0.037800000000000056</v>
      </c>
    </row>
    <row r="30" spans="1:9" ht="12.75">
      <c r="A30" s="171" t="s">
        <v>226</v>
      </c>
      <c r="B30" s="132">
        <v>0.73</v>
      </c>
      <c r="C30" s="132">
        <v>0.73</v>
      </c>
      <c r="D30" s="132">
        <v>0.73</v>
      </c>
      <c r="E30" s="132">
        <v>0.73</v>
      </c>
      <c r="F30" s="132">
        <v>0.73</v>
      </c>
      <c r="G30" s="132">
        <v>0.73</v>
      </c>
      <c r="H30" s="132">
        <v>0.73</v>
      </c>
      <c r="I30" s="132">
        <v>0.73</v>
      </c>
    </row>
    <row r="31" spans="1:9" ht="12.75">
      <c r="A31" s="171" t="s">
        <v>227</v>
      </c>
      <c r="B31" s="132">
        <f>1-B30</f>
        <v>0.27</v>
      </c>
      <c r="C31" s="132">
        <f aca="true" t="shared" si="10" ref="C31:I31">1-C30</f>
        <v>0.27</v>
      </c>
      <c r="D31" s="132">
        <f t="shared" si="10"/>
        <v>0.27</v>
      </c>
      <c r="E31" s="132">
        <f t="shared" si="10"/>
        <v>0.27</v>
      </c>
      <c r="F31" s="132">
        <f t="shared" si="10"/>
        <v>0.27</v>
      </c>
      <c r="G31" s="132">
        <f t="shared" si="10"/>
        <v>0.27</v>
      </c>
      <c r="H31" s="132">
        <f t="shared" si="10"/>
        <v>0.27</v>
      </c>
      <c r="I31" s="132">
        <f t="shared" si="10"/>
        <v>0.27</v>
      </c>
    </row>
    <row r="32" spans="1:9" ht="12.75">
      <c r="A32" s="183" t="s">
        <v>225</v>
      </c>
      <c r="B32" s="20">
        <f aca="true" t="shared" si="11" ref="B32:I32">B1</f>
        <v>100</v>
      </c>
      <c r="C32" s="20">
        <f t="shared" si="11"/>
        <v>110</v>
      </c>
      <c r="D32" s="20">
        <f t="shared" si="11"/>
        <v>101</v>
      </c>
      <c r="E32" s="20">
        <f t="shared" si="11"/>
        <v>111</v>
      </c>
      <c r="F32" s="20">
        <f t="shared" si="11"/>
        <v>200</v>
      </c>
      <c r="G32" s="20">
        <f t="shared" si="11"/>
        <v>210</v>
      </c>
      <c r="H32" s="20">
        <f t="shared" si="11"/>
        <v>201</v>
      </c>
      <c r="I32" s="20">
        <f t="shared" si="11"/>
        <v>211</v>
      </c>
    </row>
    <row r="33" spans="1:9" ht="12.75">
      <c r="A33" s="170" t="s">
        <v>112</v>
      </c>
      <c r="B33" s="133">
        <f aca="true" t="shared" si="12" ref="B33:I33">B25+B17</f>
        <v>120</v>
      </c>
      <c r="C33" s="133">
        <f t="shared" si="12"/>
        <v>120</v>
      </c>
      <c r="D33" s="133">
        <f t="shared" si="12"/>
        <v>120</v>
      </c>
      <c r="E33" s="133">
        <f t="shared" si="12"/>
        <v>120</v>
      </c>
      <c r="F33" s="133">
        <f t="shared" si="12"/>
        <v>120</v>
      </c>
      <c r="G33" s="133">
        <f t="shared" si="12"/>
        <v>120</v>
      </c>
      <c r="H33" s="133">
        <f t="shared" si="12"/>
        <v>120</v>
      </c>
      <c r="I33" s="133">
        <f t="shared" si="12"/>
        <v>120</v>
      </c>
    </row>
    <row r="34" spans="1:9" ht="12.75">
      <c r="A34" s="171" t="s">
        <v>220</v>
      </c>
      <c r="B34" s="132">
        <f>(B26*B25+B18*B17)/(B25+B17)</f>
        <v>0.8213333333333334</v>
      </c>
      <c r="C34" s="132">
        <f aca="true" t="shared" si="13" ref="C34:I34">(0.74*C25+0.9*C17)/(C25+C17)</f>
        <v>0.8213333333333334</v>
      </c>
      <c r="D34" s="132">
        <f t="shared" si="13"/>
        <v>0.8213333333333334</v>
      </c>
      <c r="E34" s="132">
        <f t="shared" si="13"/>
        <v>0.8213333333333334</v>
      </c>
      <c r="F34" s="132">
        <f t="shared" si="13"/>
        <v>0.8213333333333334</v>
      </c>
      <c r="G34" s="132">
        <f t="shared" si="13"/>
        <v>0.8213333333333334</v>
      </c>
      <c r="H34" s="132">
        <f t="shared" si="13"/>
        <v>0.8213333333333334</v>
      </c>
      <c r="I34" s="132">
        <f t="shared" si="13"/>
        <v>0.8213333333333334</v>
      </c>
    </row>
    <row r="35" spans="1:9" ht="12.75">
      <c r="A35" s="171" t="s">
        <v>219</v>
      </c>
      <c r="B35" s="132">
        <f>((B19*(1-0.52)+B20)*B17+(B27*B30+B28)*B25)/(B17+B25)</f>
        <v>0.11771833333333334</v>
      </c>
      <c r="C35" s="132">
        <f aca="true" t="shared" si="14" ref="C35:I35">((C19*(1-0.52)+C20)*C17+(C27*C30+C28)*C25)/(C17+C25)</f>
        <v>0.11771833333333334</v>
      </c>
      <c r="D35" s="132">
        <f t="shared" si="14"/>
        <v>0.11771833333333334</v>
      </c>
      <c r="E35" s="132">
        <f t="shared" si="14"/>
        <v>0.11771833333333334</v>
      </c>
      <c r="F35" s="132">
        <f t="shared" si="14"/>
        <v>0.11771833333333334</v>
      </c>
      <c r="G35" s="132">
        <f t="shared" si="14"/>
        <v>0.11771833333333334</v>
      </c>
      <c r="H35" s="132">
        <f t="shared" si="14"/>
        <v>0.11771833333333334</v>
      </c>
      <c r="I35" s="132">
        <f t="shared" si="14"/>
        <v>0.11771833333333334</v>
      </c>
    </row>
    <row r="36" spans="1:9" ht="12.75">
      <c r="A36" s="171" t="s">
        <v>221</v>
      </c>
      <c r="B36" s="193">
        <f>((B19*0.52+B21)*B17+(B27*B31+B29)*B25)/(B17+B25)</f>
        <v>0.06094833333333337</v>
      </c>
      <c r="C36" s="193">
        <f aca="true" t="shared" si="15" ref="C36:I36">((C19*0.52+C21)*C17+(C27*C31+C29)*C25)/(C17+C25)</f>
        <v>0.06094833333333337</v>
      </c>
      <c r="D36" s="193">
        <f t="shared" si="15"/>
        <v>0.06094833333333337</v>
      </c>
      <c r="E36" s="193">
        <f t="shared" si="15"/>
        <v>0.06094833333333337</v>
      </c>
      <c r="F36" s="193">
        <f t="shared" si="15"/>
        <v>0.06094833333333337</v>
      </c>
      <c r="G36" s="193">
        <f t="shared" si="15"/>
        <v>0.06094833333333337</v>
      </c>
      <c r="H36" s="193">
        <f t="shared" si="15"/>
        <v>0.06094833333333337</v>
      </c>
      <c r="I36" s="193">
        <f t="shared" si="15"/>
        <v>0.06094833333333337</v>
      </c>
    </row>
    <row r="37" spans="1:9" ht="12.75">
      <c r="A37" s="73" t="s">
        <v>75</v>
      </c>
      <c r="B37" s="132">
        <f aca="true" t="shared" si="16" ref="B37:I37">(B18*B17)/(B26*B25+B18*B17)</f>
        <v>0.5570211038961038</v>
      </c>
      <c r="C37" s="132">
        <f t="shared" si="16"/>
        <v>0.5570211038961038</v>
      </c>
      <c r="D37" s="132">
        <f t="shared" si="16"/>
        <v>0.5570211038961038</v>
      </c>
      <c r="E37" s="132">
        <f t="shared" si="16"/>
        <v>0.5570211038961038</v>
      </c>
      <c r="F37" s="132">
        <f t="shared" si="16"/>
        <v>0.5570211038961038</v>
      </c>
      <c r="G37" s="132">
        <f t="shared" si="16"/>
        <v>0.5570211038961038</v>
      </c>
      <c r="H37" s="132">
        <f t="shared" si="16"/>
        <v>0.5570211038961038</v>
      </c>
      <c r="I37" s="132">
        <f t="shared" si="16"/>
        <v>0.5570211038961038</v>
      </c>
    </row>
    <row r="38" spans="1:9" ht="12.75">
      <c r="A38" s="183" t="s">
        <v>224</v>
      </c>
      <c r="B38" s="20">
        <f aca="true" t="shared" si="17" ref="B38:I38">B1</f>
        <v>100</v>
      </c>
      <c r="C38" s="20">
        <f t="shared" si="17"/>
        <v>110</v>
      </c>
      <c r="D38" s="20">
        <f t="shared" si="17"/>
        <v>101</v>
      </c>
      <c r="E38" s="20">
        <f t="shared" si="17"/>
        <v>111</v>
      </c>
      <c r="F38" s="20">
        <f t="shared" si="17"/>
        <v>200</v>
      </c>
      <c r="G38" s="20">
        <f t="shared" si="17"/>
        <v>210</v>
      </c>
      <c r="H38" s="20">
        <f t="shared" si="17"/>
        <v>201</v>
      </c>
      <c r="I38" s="20">
        <f t="shared" si="17"/>
        <v>211</v>
      </c>
    </row>
    <row r="39" spans="1:9" ht="12.75">
      <c r="A39" s="171" t="s">
        <v>207</v>
      </c>
      <c r="B39" s="181">
        <v>6</v>
      </c>
      <c r="C39" s="181">
        <v>6</v>
      </c>
      <c r="D39" s="181">
        <v>6</v>
      </c>
      <c r="E39" s="181">
        <v>6</v>
      </c>
      <c r="F39" s="181">
        <v>6</v>
      </c>
      <c r="G39" s="181">
        <v>6</v>
      </c>
      <c r="H39" s="181">
        <v>6</v>
      </c>
      <c r="I39" s="181">
        <v>6</v>
      </c>
    </row>
    <row r="40" spans="1:9" ht="12.75">
      <c r="A40" s="171" t="s">
        <v>209</v>
      </c>
      <c r="B40" s="181">
        <v>8</v>
      </c>
      <c r="C40" s="181">
        <v>8</v>
      </c>
      <c r="D40" s="181">
        <v>8</v>
      </c>
      <c r="E40" s="181">
        <v>8</v>
      </c>
      <c r="F40" s="181">
        <v>8</v>
      </c>
      <c r="G40" s="181">
        <v>8</v>
      </c>
      <c r="H40" s="181">
        <v>8</v>
      </c>
      <c r="I40" s="181">
        <v>8</v>
      </c>
    </row>
    <row r="41" spans="1:9" ht="12.75">
      <c r="A41" s="171" t="s">
        <v>211</v>
      </c>
      <c r="B41" s="181">
        <v>2.43</v>
      </c>
      <c r="C41" s="181">
        <v>2.43</v>
      </c>
      <c r="D41" s="181">
        <v>2.43</v>
      </c>
      <c r="E41" s="181">
        <v>2.43</v>
      </c>
      <c r="F41" s="181">
        <v>2.43</v>
      </c>
      <c r="G41" s="181">
        <v>2.43</v>
      </c>
      <c r="H41" s="181">
        <v>2.43</v>
      </c>
      <c r="I41" s="181">
        <v>2.43</v>
      </c>
    </row>
    <row r="42" spans="1:9" ht="12.75">
      <c r="A42" s="171" t="s">
        <v>212</v>
      </c>
      <c r="B42" s="181">
        <v>1.21</v>
      </c>
      <c r="C42" s="181">
        <v>1.21</v>
      </c>
      <c r="D42" s="181">
        <v>1.21</v>
      </c>
      <c r="E42" s="181">
        <v>1.21</v>
      </c>
      <c r="F42" s="181">
        <v>1.21</v>
      </c>
      <c r="G42" s="181">
        <v>1.21</v>
      </c>
      <c r="H42" s="181">
        <v>1.21</v>
      </c>
      <c r="I42" s="181">
        <v>1.21</v>
      </c>
    </row>
  </sheetData>
  <sheetProtection selectLockedCells="1" selectUnlockedCells="1"/>
  <printOptions/>
  <pageMargins left="0.7" right="0.7" top="0.75" bottom="0.75" header="0.3" footer="0.3"/>
  <pageSetup horizontalDpi="360" verticalDpi="36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U49"/>
  <sheetViews>
    <sheetView showRowColHeaders="0" tabSelected="1" zoomScale="75" zoomScaleNormal="75" zoomScaleSheetLayoutView="75" zoomScalePageLayoutView="75" workbookViewId="0" topLeftCell="A1">
      <selection activeCell="F16" sqref="F16"/>
    </sheetView>
  </sheetViews>
  <sheetFormatPr defaultColWidth="0" defaultRowHeight="14.25" zeroHeight="1"/>
  <cols>
    <col min="1" max="1" width="6.625" style="1" customWidth="1"/>
    <col min="2" max="2" width="1.625" style="2" customWidth="1"/>
    <col min="3" max="3" width="6.625" style="38" customWidth="1"/>
    <col min="4" max="4" width="15.50390625" style="38" customWidth="1"/>
    <col min="5" max="8" width="8.625" style="38" customWidth="1"/>
    <col min="9" max="9" width="5.625" style="38" customWidth="1"/>
    <col min="10" max="13" width="8.625" style="38" customWidth="1"/>
    <col min="14" max="14" width="7.375" style="38" customWidth="1"/>
    <col min="15" max="255" width="9.625" style="448" hidden="1" customWidth="1"/>
    <col min="256" max="16384" width="29.75390625" style="47" hidden="1" customWidth="1"/>
  </cols>
  <sheetData>
    <row r="1" spans="1:14" ht="23.25">
      <c r="A1" s="4"/>
      <c r="B1" s="5"/>
      <c r="C1" s="26"/>
      <c r="D1" s="476" t="s">
        <v>84</v>
      </c>
      <c r="E1" s="472"/>
      <c r="F1" s="472"/>
      <c r="G1" s="472"/>
      <c r="H1" s="472"/>
      <c r="I1" s="472"/>
      <c r="J1" s="472"/>
      <c r="K1" s="472"/>
      <c r="L1" s="472"/>
      <c r="M1" s="472"/>
      <c r="N1" s="26"/>
    </row>
    <row r="2" spans="1:4" ht="15">
      <c r="A2" s="4"/>
      <c r="B2" s="5"/>
      <c r="C2" s="26"/>
      <c r="D2" s="136">
        <f ca="1">IF(TODAY()&lt;&gt;Kod!A11,"","Datum för använda modellen har passerats")</f>
      </c>
    </row>
    <row r="3" spans="1:13" ht="19.5" customHeight="1">
      <c r="A3" s="4"/>
      <c r="B3" s="5"/>
      <c r="C3" s="26"/>
      <c r="D3" s="274" t="s">
        <v>123</v>
      </c>
      <c r="E3" s="521" t="str">
        <f>IF('3 Förutsättningar'!E3&lt;&gt;"",'3 Förutsättningar'!E3,"NAMN PÅ OMRÅDE SAKNAS I BLAD 3")</f>
        <v>Stöde S:a ÄSO</v>
      </c>
      <c r="F3" s="522"/>
      <c r="G3" s="522"/>
      <c r="H3" s="522"/>
      <c r="I3" s="522"/>
      <c r="J3" s="522"/>
      <c r="K3" s="522"/>
      <c r="L3" s="522"/>
      <c r="M3" s="523"/>
    </row>
    <row r="4" spans="1:13" ht="19.5" customHeight="1">
      <c r="A4" s="4"/>
      <c r="B4" s="5"/>
      <c r="C4" s="26"/>
      <c r="D4" s="273" t="s">
        <v>124</v>
      </c>
      <c r="E4" s="512">
        <v>45050</v>
      </c>
      <c r="F4" s="513"/>
      <c r="G4" s="274" t="s">
        <v>125</v>
      </c>
      <c r="H4" s="276" t="s">
        <v>342</v>
      </c>
      <c r="I4" s="514" t="s">
        <v>126</v>
      </c>
      <c r="J4" s="515"/>
      <c r="K4" s="477" t="s">
        <v>343</v>
      </c>
      <c r="L4" s="479"/>
      <c r="M4" s="480"/>
    </row>
    <row r="5" spans="1:13" ht="19.5" customHeight="1">
      <c r="A5" s="4"/>
      <c r="B5" s="5"/>
      <c r="C5" s="26"/>
      <c r="D5" s="524" t="s">
        <v>139</v>
      </c>
      <c r="E5" s="486"/>
      <c r="F5" s="517" t="str">
        <f>Kod!A14</f>
        <v>3.5</v>
      </c>
      <c r="G5" s="486"/>
      <c r="H5" s="487"/>
      <c r="I5" s="516" t="s">
        <v>127</v>
      </c>
      <c r="J5" s="515"/>
      <c r="K5" s="518" t="str">
        <f>CONCATENATE('3 Förutsättningar'!E4," ",'3 Förutsättningar'!H4," ",'3 Förutsättningar'!K4)</f>
        <v>2023-05-29 09.30 Grubb</v>
      </c>
      <c r="L5" s="519"/>
      <c r="M5" s="520"/>
    </row>
    <row r="6" spans="1:255" s="38" customFormat="1" ht="15" customHeight="1">
      <c r="A6" s="4"/>
      <c r="B6" s="5"/>
      <c r="C6" s="26"/>
      <c r="E6" s="65"/>
      <c r="F6" s="65"/>
      <c r="G6" s="65"/>
      <c r="H6" s="65"/>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8"/>
      <c r="BD6" s="448"/>
      <c r="BE6" s="448"/>
      <c r="BF6" s="448"/>
      <c r="BG6" s="448"/>
      <c r="BH6" s="448"/>
      <c r="BI6" s="448"/>
      <c r="BJ6" s="448"/>
      <c r="BK6" s="448"/>
      <c r="BL6" s="448"/>
      <c r="BM6" s="448"/>
      <c r="BN6" s="448"/>
      <c r="BO6" s="448"/>
      <c r="BP6" s="448"/>
      <c r="BQ6" s="448"/>
      <c r="BR6" s="448"/>
      <c r="BS6" s="448"/>
      <c r="BT6" s="448"/>
      <c r="BU6" s="448"/>
      <c r="BV6" s="448"/>
      <c r="BW6" s="448"/>
      <c r="BX6" s="448"/>
      <c r="BY6" s="448"/>
      <c r="BZ6" s="448"/>
      <c r="CA6" s="448"/>
      <c r="CB6" s="448"/>
      <c r="CC6" s="448"/>
      <c r="CD6" s="448"/>
      <c r="CE6" s="448"/>
      <c r="CF6" s="448"/>
      <c r="CG6" s="448"/>
      <c r="CH6" s="448"/>
      <c r="CI6" s="448"/>
      <c r="CJ6" s="448"/>
      <c r="CK6" s="448"/>
      <c r="CL6" s="448"/>
      <c r="CM6" s="448"/>
      <c r="CN6" s="448"/>
      <c r="CO6" s="448"/>
      <c r="CP6" s="448"/>
      <c r="CQ6" s="448"/>
      <c r="CR6" s="448"/>
      <c r="CS6" s="448"/>
      <c r="CT6" s="448"/>
      <c r="CU6" s="448"/>
      <c r="CV6" s="448"/>
      <c r="CW6" s="448"/>
      <c r="CX6" s="448"/>
      <c r="CY6" s="448"/>
      <c r="CZ6" s="448"/>
      <c r="DA6" s="448"/>
      <c r="DB6" s="448"/>
      <c r="DC6" s="448"/>
      <c r="DD6" s="448"/>
      <c r="DE6" s="448"/>
      <c r="DF6" s="448"/>
      <c r="DG6" s="448"/>
      <c r="DH6" s="448"/>
      <c r="DI6" s="448"/>
      <c r="DJ6" s="448"/>
      <c r="DK6" s="448"/>
      <c r="DL6" s="448"/>
      <c r="DM6" s="448"/>
      <c r="DN6" s="448"/>
      <c r="DO6" s="448"/>
      <c r="DP6" s="448"/>
      <c r="DQ6" s="448"/>
      <c r="DR6" s="448"/>
      <c r="DS6" s="448"/>
      <c r="DT6" s="448"/>
      <c r="DU6" s="448"/>
      <c r="DV6" s="448"/>
      <c r="DW6" s="448"/>
      <c r="DX6" s="448"/>
      <c r="DY6" s="448"/>
      <c r="DZ6" s="448"/>
      <c r="EA6" s="448"/>
      <c r="EB6" s="448"/>
      <c r="EC6" s="448"/>
      <c r="ED6" s="448"/>
      <c r="EE6" s="448"/>
      <c r="EF6" s="448"/>
      <c r="EG6" s="448"/>
      <c r="EH6" s="448"/>
      <c r="EI6" s="448"/>
      <c r="EJ6" s="448"/>
      <c r="EK6" s="448"/>
      <c r="EL6" s="448"/>
      <c r="EM6" s="448"/>
      <c r="EN6" s="448"/>
      <c r="EO6" s="448"/>
      <c r="EP6" s="448"/>
      <c r="EQ6" s="448"/>
      <c r="ER6" s="448"/>
      <c r="ES6" s="448"/>
      <c r="ET6" s="448"/>
      <c r="EU6" s="448"/>
      <c r="EV6" s="448"/>
      <c r="EW6" s="448"/>
      <c r="EX6" s="448"/>
      <c r="EY6" s="448"/>
      <c r="EZ6" s="448"/>
      <c r="FA6" s="448"/>
      <c r="FB6" s="448"/>
      <c r="FC6" s="448"/>
      <c r="FD6" s="448"/>
      <c r="FE6" s="448"/>
      <c r="FF6" s="448"/>
      <c r="FG6" s="448"/>
      <c r="FH6" s="448"/>
      <c r="FI6" s="448"/>
      <c r="FJ6" s="448"/>
      <c r="FK6" s="448"/>
      <c r="FL6" s="448"/>
      <c r="FM6" s="448"/>
      <c r="FN6" s="448"/>
      <c r="FO6" s="448"/>
      <c r="FP6" s="448"/>
      <c r="FQ6" s="448"/>
      <c r="FR6" s="448"/>
      <c r="FS6" s="448"/>
      <c r="FT6" s="448"/>
      <c r="FU6" s="448"/>
      <c r="FV6" s="448"/>
      <c r="FW6" s="448"/>
      <c r="FX6" s="448"/>
      <c r="FY6" s="448"/>
      <c r="FZ6" s="448"/>
      <c r="GA6" s="448"/>
      <c r="GB6" s="448"/>
      <c r="GC6" s="448"/>
      <c r="GD6" s="448"/>
      <c r="GE6" s="448"/>
      <c r="GF6" s="448"/>
      <c r="GG6" s="448"/>
      <c r="GH6" s="448"/>
      <c r="GI6" s="448"/>
      <c r="GJ6" s="448"/>
      <c r="GK6" s="448"/>
      <c r="GL6" s="448"/>
      <c r="GM6" s="448"/>
      <c r="GN6" s="448"/>
      <c r="GO6" s="448"/>
      <c r="GP6" s="448"/>
      <c r="GQ6" s="448"/>
      <c r="GR6" s="448"/>
      <c r="GS6" s="448"/>
      <c r="GT6" s="448"/>
      <c r="GU6" s="448"/>
      <c r="GV6" s="448"/>
      <c r="GW6" s="448"/>
      <c r="GX6" s="448"/>
      <c r="GY6" s="448"/>
      <c r="GZ6" s="448"/>
      <c r="HA6" s="448"/>
      <c r="HB6" s="448"/>
      <c r="HC6" s="448"/>
      <c r="HD6" s="448"/>
      <c r="HE6" s="448"/>
      <c r="HF6" s="448"/>
      <c r="HG6" s="448"/>
      <c r="HH6" s="448"/>
      <c r="HI6" s="448"/>
      <c r="HJ6" s="448"/>
      <c r="HK6" s="448"/>
      <c r="HL6" s="448"/>
      <c r="HM6" s="448"/>
      <c r="HN6" s="448"/>
      <c r="HO6" s="448"/>
      <c r="HP6" s="448"/>
      <c r="HQ6" s="448"/>
      <c r="HR6" s="448"/>
      <c r="HS6" s="448"/>
      <c r="HT6" s="448"/>
      <c r="HU6" s="448"/>
      <c r="HV6" s="448"/>
      <c r="HW6" s="448"/>
      <c r="HX6" s="448"/>
      <c r="HY6" s="448"/>
      <c r="HZ6" s="448"/>
      <c r="IA6" s="448"/>
      <c r="IB6" s="448"/>
      <c r="IC6" s="448"/>
      <c r="ID6" s="448"/>
      <c r="IE6" s="448"/>
      <c r="IF6" s="448"/>
      <c r="IG6" s="448"/>
      <c r="IH6" s="448"/>
      <c r="II6" s="448"/>
      <c r="IJ6" s="448"/>
      <c r="IK6" s="448"/>
      <c r="IL6" s="448"/>
      <c r="IM6" s="448"/>
      <c r="IN6" s="448"/>
      <c r="IO6" s="448"/>
      <c r="IP6" s="448"/>
      <c r="IQ6" s="448"/>
      <c r="IR6" s="448"/>
      <c r="IS6" s="448"/>
      <c r="IT6" s="448"/>
      <c r="IU6" s="448"/>
    </row>
    <row r="7" spans="1:255" s="38" customFormat="1" ht="15" customHeight="1">
      <c r="A7" s="4"/>
      <c r="B7" s="5"/>
      <c r="C7" s="26"/>
      <c r="D7" s="489" t="s">
        <v>296</v>
      </c>
      <c r="E7" s="459"/>
      <c r="F7" s="459"/>
      <c r="G7" s="459"/>
      <c r="H7" s="459"/>
      <c r="I7" s="459"/>
      <c r="J7" s="459"/>
      <c r="K7" s="459"/>
      <c r="L7" s="459"/>
      <c r="M7" s="459"/>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448"/>
      <c r="BX7" s="448"/>
      <c r="BY7" s="448"/>
      <c r="BZ7" s="448"/>
      <c r="CA7" s="448"/>
      <c r="CB7" s="448"/>
      <c r="CC7" s="448"/>
      <c r="CD7" s="448"/>
      <c r="CE7" s="448"/>
      <c r="CF7" s="448"/>
      <c r="CG7" s="448"/>
      <c r="CH7" s="448"/>
      <c r="CI7" s="448"/>
      <c r="CJ7" s="448"/>
      <c r="CK7" s="448"/>
      <c r="CL7" s="448"/>
      <c r="CM7" s="448"/>
      <c r="CN7" s="448"/>
      <c r="CO7" s="448"/>
      <c r="CP7" s="448"/>
      <c r="CQ7" s="448"/>
      <c r="CR7" s="448"/>
      <c r="CS7" s="448"/>
      <c r="CT7" s="448"/>
      <c r="CU7" s="448"/>
      <c r="CV7" s="448"/>
      <c r="CW7" s="448"/>
      <c r="CX7" s="448"/>
      <c r="CY7" s="448"/>
      <c r="CZ7" s="448"/>
      <c r="DA7" s="448"/>
      <c r="DB7" s="448"/>
      <c r="DC7" s="448"/>
      <c r="DD7" s="448"/>
      <c r="DE7" s="448"/>
      <c r="DF7" s="448"/>
      <c r="DG7" s="448"/>
      <c r="DH7" s="448"/>
      <c r="DI7" s="448"/>
      <c r="DJ7" s="448"/>
      <c r="DK7" s="448"/>
      <c r="DL7" s="448"/>
      <c r="DM7" s="448"/>
      <c r="DN7" s="448"/>
      <c r="DO7" s="448"/>
      <c r="DP7" s="448"/>
      <c r="DQ7" s="448"/>
      <c r="DR7" s="448"/>
      <c r="DS7" s="448"/>
      <c r="DT7" s="448"/>
      <c r="DU7" s="448"/>
      <c r="DV7" s="448"/>
      <c r="DW7" s="448"/>
      <c r="DX7" s="448"/>
      <c r="DY7" s="448"/>
      <c r="DZ7" s="448"/>
      <c r="EA7" s="448"/>
      <c r="EB7" s="448"/>
      <c r="EC7" s="448"/>
      <c r="ED7" s="448"/>
      <c r="EE7" s="448"/>
      <c r="EF7" s="448"/>
      <c r="EG7" s="448"/>
      <c r="EH7" s="448"/>
      <c r="EI7" s="448"/>
      <c r="EJ7" s="448"/>
      <c r="EK7" s="448"/>
      <c r="EL7" s="448"/>
      <c r="EM7" s="448"/>
      <c r="EN7" s="448"/>
      <c r="EO7" s="448"/>
      <c r="EP7" s="448"/>
      <c r="EQ7" s="448"/>
      <c r="ER7" s="448"/>
      <c r="ES7" s="448"/>
      <c r="ET7" s="448"/>
      <c r="EU7" s="448"/>
      <c r="EV7" s="448"/>
      <c r="EW7" s="448"/>
      <c r="EX7" s="448"/>
      <c r="EY7" s="448"/>
      <c r="EZ7" s="448"/>
      <c r="FA7" s="448"/>
      <c r="FB7" s="448"/>
      <c r="FC7" s="448"/>
      <c r="FD7" s="448"/>
      <c r="FE7" s="448"/>
      <c r="FF7" s="448"/>
      <c r="FG7" s="448"/>
      <c r="FH7" s="448"/>
      <c r="FI7" s="448"/>
      <c r="FJ7" s="448"/>
      <c r="FK7" s="448"/>
      <c r="FL7" s="448"/>
      <c r="FM7" s="448"/>
      <c r="FN7" s="448"/>
      <c r="FO7" s="448"/>
      <c r="FP7" s="448"/>
      <c r="FQ7" s="448"/>
      <c r="FR7" s="448"/>
      <c r="FS7" s="448"/>
      <c r="FT7" s="448"/>
      <c r="FU7" s="448"/>
      <c r="FV7" s="448"/>
      <c r="FW7" s="448"/>
      <c r="FX7" s="448"/>
      <c r="FY7" s="448"/>
      <c r="FZ7" s="448"/>
      <c r="GA7" s="448"/>
      <c r="GB7" s="448"/>
      <c r="GC7" s="448"/>
      <c r="GD7" s="448"/>
      <c r="GE7" s="448"/>
      <c r="GF7" s="448"/>
      <c r="GG7" s="448"/>
      <c r="GH7" s="448"/>
      <c r="GI7" s="448"/>
      <c r="GJ7" s="448"/>
      <c r="GK7" s="448"/>
      <c r="GL7" s="448"/>
      <c r="GM7" s="448"/>
      <c r="GN7" s="448"/>
      <c r="GO7" s="448"/>
      <c r="GP7" s="448"/>
      <c r="GQ7" s="448"/>
      <c r="GR7" s="448"/>
      <c r="GS7" s="448"/>
      <c r="GT7" s="448"/>
      <c r="GU7" s="448"/>
      <c r="GV7" s="448"/>
      <c r="GW7" s="448"/>
      <c r="GX7" s="448"/>
      <c r="GY7" s="448"/>
      <c r="GZ7" s="448"/>
      <c r="HA7" s="448"/>
      <c r="HB7" s="448"/>
      <c r="HC7" s="448"/>
      <c r="HD7" s="448"/>
      <c r="HE7" s="448"/>
      <c r="HF7" s="448"/>
      <c r="HG7" s="448"/>
      <c r="HH7" s="448"/>
      <c r="HI7" s="448"/>
      <c r="HJ7" s="448"/>
      <c r="HK7" s="448"/>
      <c r="HL7" s="448"/>
      <c r="HM7" s="448"/>
      <c r="HN7" s="448"/>
      <c r="HO7" s="448"/>
      <c r="HP7" s="448"/>
      <c r="HQ7" s="448"/>
      <c r="HR7" s="448"/>
      <c r="HS7" s="448"/>
      <c r="HT7" s="448"/>
      <c r="HU7" s="448"/>
      <c r="HV7" s="448"/>
      <c r="HW7" s="448"/>
      <c r="HX7" s="448"/>
      <c r="HY7" s="448"/>
      <c r="HZ7" s="448"/>
      <c r="IA7" s="448"/>
      <c r="IB7" s="448"/>
      <c r="IC7" s="448"/>
      <c r="ID7" s="448"/>
      <c r="IE7" s="448"/>
      <c r="IF7" s="448"/>
      <c r="IG7" s="448"/>
      <c r="IH7" s="448"/>
      <c r="II7" s="448"/>
      <c r="IJ7" s="448"/>
      <c r="IK7" s="448"/>
      <c r="IL7" s="448"/>
      <c r="IM7" s="448"/>
      <c r="IN7" s="448"/>
      <c r="IO7" s="448"/>
      <c r="IP7" s="448"/>
      <c r="IQ7" s="448"/>
      <c r="IR7" s="448"/>
      <c r="IS7" s="448"/>
      <c r="IT7" s="448"/>
      <c r="IU7" s="448"/>
    </row>
    <row r="8" spans="1:255" s="38" customFormat="1" ht="15" customHeight="1">
      <c r="A8" s="4"/>
      <c r="B8" s="5"/>
      <c r="C8" s="26"/>
      <c r="D8" s="459"/>
      <c r="E8" s="459"/>
      <c r="F8" s="459"/>
      <c r="G8" s="459"/>
      <c r="H8" s="459"/>
      <c r="I8" s="459"/>
      <c r="J8" s="459"/>
      <c r="K8" s="459"/>
      <c r="L8" s="459"/>
      <c r="M8" s="459"/>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8"/>
      <c r="BG8" s="448"/>
      <c r="BH8" s="448"/>
      <c r="BI8" s="448"/>
      <c r="BJ8" s="448"/>
      <c r="BK8" s="448"/>
      <c r="BL8" s="448"/>
      <c r="BM8" s="448"/>
      <c r="BN8" s="448"/>
      <c r="BO8" s="448"/>
      <c r="BP8" s="448"/>
      <c r="BQ8" s="448"/>
      <c r="BR8" s="448"/>
      <c r="BS8" s="448"/>
      <c r="BT8" s="448"/>
      <c r="BU8" s="448"/>
      <c r="BV8" s="448"/>
      <c r="BW8" s="448"/>
      <c r="BX8" s="448"/>
      <c r="BY8" s="448"/>
      <c r="BZ8" s="448"/>
      <c r="CA8" s="448"/>
      <c r="CB8" s="448"/>
      <c r="CC8" s="448"/>
      <c r="CD8" s="448"/>
      <c r="CE8" s="448"/>
      <c r="CF8" s="448"/>
      <c r="CG8" s="448"/>
      <c r="CH8" s="448"/>
      <c r="CI8" s="448"/>
      <c r="CJ8" s="448"/>
      <c r="CK8" s="448"/>
      <c r="CL8" s="448"/>
      <c r="CM8" s="448"/>
      <c r="CN8" s="448"/>
      <c r="CO8" s="448"/>
      <c r="CP8" s="448"/>
      <c r="CQ8" s="448"/>
      <c r="CR8" s="448"/>
      <c r="CS8" s="448"/>
      <c r="CT8" s="448"/>
      <c r="CU8" s="448"/>
      <c r="CV8" s="448"/>
      <c r="CW8" s="448"/>
      <c r="CX8" s="448"/>
      <c r="CY8" s="448"/>
      <c r="CZ8" s="448"/>
      <c r="DA8" s="448"/>
      <c r="DB8" s="448"/>
      <c r="DC8" s="448"/>
      <c r="DD8" s="448"/>
      <c r="DE8" s="448"/>
      <c r="DF8" s="448"/>
      <c r="DG8" s="448"/>
      <c r="DH8" s="448"/>
      <c r="DI8" s="448"/>
      <c r="DJ8" s="448"/>
      <c r="DK8" s="448"/>
      <c r="DL8" s="448"/>
      <c r="DM8" s="448"/>
      <c r="DN8" s="448"/>
      <c r="DO8" s="448"/>
      <c r="DP8" s="448"/>
      <c r="DQ8" s="448"/>
      <c r="DR8" s="448"/>
      <c r="DS8" s="448"/>
      <c r="DT8" s="448"/>
      <c r="DU8" s="448"/>
      <c r="DV8" s="448"/>
      <c r="DW8" s="448"/>
      <c r="DX8" s="448"/>
      <c r="DY8" s="448"/>
      <c r="DZ8" s="448"/>
      <c r="EA8" s="448"/>
      <c r="EB8" s="448"/>
      <c r="EC8" s="448"/>
      <c r="ED8" s="448"/>
      <c r="EE8" s="448"/>
      <c r="EF8" s="448"/>
      <c r="EG8" s="448"/>
      <c r="EH8" s="448"/>
      <c r="EI8" s="448"/>
      <c r="EJ8" s="448"/>
      <c r="EK8" s="448"/>
      <c r="EL8" s="448"/>
      <c r="EM8" s="448"/>
      <c r="EN8" s="448"/>
      <c r="EO8" s="448"/>
      <c r="EP8" s="448"/>
      <c r="EQ8" s="448"/>
      <c r="ER8" s="448"/>
      <c r="ES8" s="448"/>
      <c r="ET8" s="448"/>
      <c r="EU8" s="448"/>
      <c r="EV8" s="448"/>
      <c r="EW8" s="448"/>
      <c r="EX8" s="448"/>
      <c r="EY8" s="448"/>
      <c r="EZ8" s="448"/>
      <c r="FA8" s="448"/>
      <c r="FB8" s="448"/>
      <c r="FC8" s="448"/>
      <c r="FD8" s="448"/>
      <c r="FE8" s="448"/>
      <c r="FF8" s="448"/>
      <c r="FG8" s="448"/>
      <c r="FH8" s="448"/>
      <c r="FI8" s="448"/>
      <c r="FJ8" s="448"/>
      <c r="FK8" s="448"/>
      <c r="FL8" s="448"/>
      <c r="FM8" s="448"/>
      <c r="FN8" s="448"/>
      <c r="FO8" s="448"/>
      <c r="FP8" s="448"/>
      <c r="FQ8" s="448"/>
      <c r="FR8" s="448"/>
      <c r="FS8" s="448"/>
      <c r="FT8" s="448"/>
      <c r="FU8" s="448"/>
      <c r="FV8" s="448"/>
      <c r="FW8" s="448"/>
      <c r="FX8" s="448"/>
      <c r="FY8" s="448"/>
      <c r="FZ8" s="448"/>
      <c r="GA8" s="448"/>
      <c r="GB8" s="448"/>
      <c r="GC8" s="448"/>
      <c r="GD8" s="448"/>
      <c r="GE8" s="448"/>
      <c r="GF8" s="448"/>
      <c r="GG8" s="448"/>
      <c r="GH8" s="448"/>
      <c r="GI8" s="448"/>
      <c r="GJ8" s="448"/>
      <c r="GK8" s="448"/>
      <c r="GL8" s="448"/>
      <c r="GM8" s="448"/>
      <c r="GN8" s="448"/>
      <c r="GO8" s="448"/>
      <c r="GP8" s="448"/>
      <c r="GQ8" s="448"/>
      <c r="GR8" s="448"/>
      <c r="GS8" s="448"/>
      <c r="GT8" s="448"/>
      <c r="GU8" s="448"/>
      <c r="GV8" s="448"/>
      <c r="GW8" s="448"/>
      <c r="GX8" s="448"/>
      <c r="GY8" s="448"/>
      <c r="GZ8" s="448"/>
      <c r="HA8" s="448"/>
      <c r="HB8" s="448"/>
      <c r="HC8" s="448"/>
      <c r="HD8" s="448"/>
      <c r="HE8" s="448"/>
      <c r="HF8" s="448"/>
      <c r="HG8" s="448"/>
      <c r="HH8" s="448"/>
      <c r="HI8" s="448"/>
      <c r="HJ8" s="448"/>
      <c r="HK8" s="448"/>
      <c r="HL8" s="448"/>
      <c r="HM8" s="448"/>
      <c r="HN8" s="448"/>
      <c r="HO8" s="448"/>
      <c r="HP8" s="448"/>
      <c r="HQ8" s="448"/>
      <c r="HR8" s="448"/>
      <c r="HS8" s="448"/>
      <c r="HT8" s="448"/>
      <c r="HU8" s="448"/>
      <c r="HV8" s="448"/>
      <c r="HW8" s="448"/>
      <c r="HX8" s="448"/>
      <c r="HY8" s="448"/>
      <c r="HZ8" s="448"/>
      <c r="IA8" s="448"/>
      <c r="IB8" s="448"/>
      <c r="IC8" s="448"/>
      <c r="ID8" s="448"/>
      <c r="IE8" s="448"/>
      <c r="IF8" s="448"/>
      <c r="IG8" s="448"/>
      <c r="IH8" s="448"/>
      <c r="II8" s="448"/>
      <c r="IJ8" s="448"/>
      <c r="IK8" s="448"/>
      <c r="IL8" s="448"/>
      <c r="IM8" s="448"/>
      <c r="IN8" s="448"/>
      <c r="IO8" s="448"/>
      <c r="IP8" s="448"/>
      <c r="IQ8" s="448"/>
      <c r="IR8" s="448"/>
      <c r="IS8" s="448"/>
      <c r="IT8" s="448"/>
      <c r="IU8" s="448"/>
    </row>
    <row r="9" spans="1:255" s="38" customFormat="1" ht="15" customHeight="1">
      <c r="A9" s="4"/>
      <c r="B9" s="5"/>
      <c r="C9" s="26"/>
      <c r="D9" s="32" t="s">
        <v>117</v>
      </c>
      <c r="E9" s="26"/>
      <c r="F9" s="26"/>
      <c r="G9" s="26"/>
      <c r="H9" s="26"/>
      <c r="I9" s="26"/>
      <c r="L9" s="26"/>
      <c r="M9" s="26"/>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8"/>
      <c r="AZ9" s="448"/>
      <c r="BA9" s="448"/>
      <c r="BB9" s="448"/>
      <c r="BC9" s="448"/>
      <c r="BD9" s="448"/>
      <c r="BE9" s="448"/>
      <c r="BF9" s="448"/>
      <c r="BG9" s="448"/>
      <c r="BH9" s="448"/>
      <c r="BI9" s="448"/>
      <c r="BJ9" s="448"/>
      <c r="BK9" s="448"/>
      <c r="BL9" s="448"/>
      <c r="BM9" s="448"/>
      <c r="BN9" s="448"/>
      <c r="BO9" s="448"/>
      <c r="BP9" s="448"/>
      <c r="BQ9" s="448"/>
      <c r="BR9" s="448"/>
      <c r="BS9" s="448"/>
      <c r="BT9" s="448"/>
      <c r="BU9" s="448"/>
      <c r="BV9" s="448"/>
      <c r="BW9" s="448"/>
      <c r="BX9" s="448"/>
      <c r="BY9" s="448"/>
      <c r="BZ9" s="448"/>
      <c r="CA9" s="448"/>
      <c r="CB9" s="448"/>
      <c r="CC9" s="448"/>
      <c r="CD9" s="448"/>
      <c r="CE9" s="448"/>
      <c r="CF9" s="448"/>
      <c r="CG9" s="448"/>
      <c r="CH9" s="448"/>
      <c r="CI9" s="448"/>
      <c r="CJ9" s="448"/>
      <c r="CK9" s="448"/>
      <c r="CL9" s="448"/>
      <c r="CM9" s="448"/>
      <c r="CN9" s="448"/>
      <c r="CO9" s="448"/>
      <c r="CP9" s="448"/>
      <c r="CQ9" s="448"/>
      <c r="CR9" s="448"/>
      <c r="CS9" s="448"/>
      <c r="CT9" s="448"/>
      <c r="CU9" s="448"/>
      <c r="CV9" s="448"/>
      <c r="CW9" s="448"/>
      <c r="CX9" s="448"/>
      <c r="CY9" s="448"/>
      <c r="CZ9" s="448"/>
      <c r="DA9" s="448"/>
      <c r="DB9" s="448"/>
      <c r="DC9" s="448"/>
      <c r="DD9" s="448"/>
      <c r="DE9" s="448"/>
      <c r="DF9" s="448"/>
      <c r="DG9" s="448"/>
      <c r="DH9" s="448"/>
      <c r="DI9" s="448"/>
      <c r="DJ9" s="448"/>
      <c r="DK9" s="448"/>
      <c r="DL9" s="448"/>
      <c r="DM9" s="448"/>
      <c r="DN9" s="448"/>
      <c r="DO9" s="448"/>
      <c r="DP9" s="448"/>
      <c r="DQ9" s="448"/>
      <c r="DR9" s="448"/>
      <c r="DS9" s="448"/>
      <c r="DT9" s="448"/>
      <c r="DU9" s="448"/>
      <c r="DV9" s="448"/>
      <c r="DW9" s="448"/>
      <c r="DX9" s="448"/>
      <c r="DY9" s="448"/>
      <c r="DZ9" s="448"/>
      <c r="EA9" s="448"/>
      <c r="EB9" s="448"/>
      <c r="EC9" s="448"/>
      <c r="ED9" s="448"/>
      <c r="EE9" s="448"/>
      <c r="EF9" s="448"/>
      <c r="EG9" s="448"/>
      <c r="EH9" s="448"/>
      <c r="EI9" s="448"/>
      <c r="EJ9" s="448"/>
      <c r="EK9" s="448"/>
      <c r="EL9" s="448"/>
      <c r="EM9" s="448"/>
      <c r="EN9" s="448"/>
      <c r="EO9" s="448"/>
      <c r="EP9" s="448"/>
      <c r="EQ9" s="448"/>
      <c r="ER9" s="448"/>
      <c r="ES9" s="448"/>
      <c r="ET9" s="448"/>
      <c r="EU9" s="448"/>
      <c r="EV9" s="448"/>
      <c r="EW9" s="448"/>
      <c r="EX9" s="448"/>
      <c r="EY9" s="448"/>
      <c r="EZ9" s="448"/>
      <c r="FA9" s="448"/>
      <c r="FB9" s="448"/>
      <c r="FC9" s="448"/>
      <c r="FD9" s="448"/>
      <c r="FE9" s="448"/>
      <c r="FF9" s="448"/>
      <c r="FG9" s="448"/>
      <c r="FH9" s="448"/>
      <c r="FI9" s="448"/>
      <c r="FJ9" s="448"/>
      <c r="FK9" s="448"/>
      <c r="FL9" s="448"/>
      <c r="FM9" s="448"/>
      <c r="FN9" s="448"/>
      <c r="FO9" s="448"/>
      <c r="FP9" s="448"/>
      <c r="FQ9" s="448"/>
      <c r="FR9" s="448"/>
      <c r="FS9" s="448"/>
      <c r="FT9" s="448"/>
      <c r="FU9" s="448"/>
      <c r="FV9" s="448"/>
      <c r="FW9" s="448"/>
      <c r="FX9" s="448"/>
      <c r="FY9" s="448"/>
      <c r="FZ9" s="448"/>
      <c r="GA9" s="448"/>
      <c r="GB9" s="448"/>
      <c r="GC9" s="448"/>
      <c r="GD9" s="448"/>
      <c r="GE9" s="448"/>
      <c r="GF9" s="448"/>
      <c r="GG9" s="448"/>
      <c r="GH9" s="448"/>
      <c r="GI9" s="448"/>
      <c r="GJ9" s="448"/>
      <c r="GK9" s="448"/>
      <c r="GL9" s="448"/>
      <c r="GM9" s="448"/>
      <c r="GN9" s="448"/>
      <c r="GO9" s="448"/>
      <c r="GP9" s="448"/>
      <c r="GQ9" s="448"/>
      <c r="GR9" s="448"/>
      <c r="GS9" s="448"/>
      <c r="GT9" s="448"/>
      <c r="GU9" s="448"/>
      <c r="GV9" s="448"/>
      <c r="GW9" s="448"/>
      <c r="GX9" s="448"/>
      <c r="GY9" s="448"/>
      <c r="GZ9" s="448"/>
      <c r="HA9" s="448"/>
      <c r="HB9" s="448"/>
      <c r="HC9" s="448"/>
      <c r="HD9" s="448"/>
      <c r="HE9" s="448"/>
      <c r="HF9" s="448"/>
      <c r="HG9" s="448"/>
      <c r="HH9" s="448"/>
      <c r="HI9" s="448"/>
      <c r="HJ9" s="448"/>
      <c r="HK9" s="448"/>
      <c r="HL9" s="448"/>
      <c r="HM9" s="448"/>
      <c r="HN9" s="448"/>
      <c r="HO9" s="448"/>
      <c r="HP9" s="448"/>
      <c r="HQ9" s="448"/>
      <c r="HR9" s="448"/>
      <c r="HS9" s="448"/>
      <c r="HT9" s="448"/>
      <c r="HU9" s="448"/>
      <c r="HV9" s="448"/>
      <c r="HW9" s="448"/>
      <c r="HX9" s="448"/>
      <c r="HY9" s="448"/>
      <c r="HZ9" s="448"/>
      <c r="IA9" s="448"/>
      <c r="IB9" s="448"/>
      <c r="IC9" s="448"/>
      <c r="ID9" s="448"/>
      <c r="IE9" s="448"/>
      <c r="IF9" s="448"/>
      <c r="IG9" s="448"/>
      <c r="IH9" s="448"/>
      <c r="II9" s="448"/>
      <c r="IJ9" s="448"/>
      <c r="IK9" s="448"/>
      <c r="IL9" s="448"/>
      <c r="IM9" s="448"/>
      <c r="IN9" s="448"/>
      <c r="IO9" s="448"/>
      <c r="IP9" s="448"/>
      <c r="IQ9" s="448"/>
      <c r="IR9" s="448"/>
      <c r="IS9" s="448"/>
      <c r="IT9" s="448"/>
      <c r="IU9" s="448"/>
    </row>
    <row r="10" spans="1:255" s="38" customFormat="1" ht="15" customHeight="1">
      <c r="A10" s="4"/>
      <c r="B10" s="5"/>
      <c r="C10" s="26"/>
      <c r="D10" s="32" t="s">
        <v>291</v>
      </c>
      <c r="E10" s="26"/>
      <c r="F10" s="26"/>
      <c r="G10" s="26"/>
      <c r="H10" s="26"/>
      <c r="I10" s="26"/>
      <c r="L10" s="26"/>
      <c r="M10" s="26"/>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8"/>
      <c r="AY10" s="448"/>
      <c r="AZ10" s="448"/>
      <c r="BA10" s="448"/>
      <c r="BB10" s="448"/>
      <c r="BC10" s="448"/>
      <c r="BD10" s="448"/>
      <c r="BE10" s="448"/>
      <c r="BF10" s="448"/>
      <c r="BG10" s="448"/>
      <c r="BH10" s="448"/>
      <c r="BI10" s="448"/>
      <c r="BJ10" s="448"/>
      <c r="BK10" s="448"/>
      <c r="BL10" s="448"/>
      <c r="BM10" s="448"/>
      <c r="BN10" s="448"/>
      <c r="BO10" s="448"/>
      <c r="BP10" s="448"/>
      <c r="BQ10" s="448"/>
      <c r="BR10" s="448"/>
      <c r="BS10" s="448"/>
      <c r="BT10" s="448"/>
      <c r="BU10" s="448"/>
      <c r="BV10" s="448"/>
      <c r="BW10" s="448"/>
      <c r="BX10" s="448"/>
      <c r="BY10" s="448"/>
      <c r="BZ10" s="448"/>
      <c r="CA10" s="448"/>
      <c r="CB10" s="448"/>
      <c r="CC10" s="448"/>
      <c r="CD10" s="448"/>
      <c r="CE10" s="448"/>
      <c r="CF10" s="448"/>
      <c r="CG10" s="448"/>
      <c r="CH10" s="448"/>
      <c r="CI10" s="448"/>
      <c r="CJ10" s="448"/>
      <c r="CK10" s="448"/>
      <c r="CL10" s="448"/>
      <c r="CM10" s="448"/>
      <c r="CN10" s="448"/>
      <c r="CO10" s="448"/>
      <c r="CP10" s="448"/>
      <c r="CQ10" s="448"/>
      <c r="CR10" s="448"/>
      <c r="CS10" s="448"/>
      <c r="CT10" s="448"/>
      <c r="CU10" s="448"/>
      <c r="CV10" s="448"/>
      <c r="CW10" s="448"/>
      <c r="CX10" s="448"/>
      <c r="CY10" s="448"/>
      <c r="CZ10" s="448"/>
      <c r="DA10" s="448"/>
      <c r="DB10" s="448"/>
      <c r="DC10" s="448"/>
      <c r="DD10" s="448"/>
      <c r="DE10" s="448"/>
      <c r="DF10" s="448"/>
      <c r="DG10" s="448"/>
      <c r="DH10" s="448"/>
      <c r="DI10" s="448"/>
      <c r="DJ10" s="448"/>
      <c r="DK10" s="448"/>
      <c r="DL10" s="448"/>
      <c r="DM10" s="448"/>
      <c r="DN10" s="448"/>
      <c r="DO10" s="448"/>
      <c r="DP10" s="448"/>
      <c r="DQ10" s="448"/>
      <c r="DR10" s="448"/>
      <c r="DS10" s="448"/>
      <c r="DT10" s="448"/>
      <c r="DU10" s="448"/>
      <c r="DV10" s="448"/>
      <c r="DW10" s="448"/>
      <c r="DX10" s="448"/>
      <c r="DY10" s="448"/>
      <c r="DZ10" s="448"/>
      <c r="EA10" s="448"/>
      <c r="EB10" s="448"/>
      <c r="EC10" s="448"/>
      <c r="ED10" s="448"/>
      <c r="EE10" s="448"/>
      <c r="EF10" s="448"/>
      <c r="EG10" s="448"/>
      <c r="EH10" s="448"/>
      <c r="EI10" s="448"/>
      <c r="EJ10" s="448"/>
      <c r="EK10" s="448"/>
      <c r="EL10" s="448"/>
      <c r="EM10" s="448"/>
      <c r="EN10" s="448"/>
      <c r="EO10" s="448"/>
      <c r="EP10" s="448"/>
      <c r="EQ10" s="448"/>
      <c r="ER10" s="448"/>
      <c r="ES10" s="448"/>
      <c r="ET10" s="448"/>
      <c r="EU10" s="448"/>
      <c r="EV10" s="448"/>
      <c r="EW10" s="448"/>
      <c r="EX10" s="448"/>
      <c r="EY10" s="448"/>
      <c r="EZ10" s="448"/>
      <c r="FA10" s="448"/>
      <c r="FB10" s="448"/>
      <c r="FC10" s="448"/>
      <c r="FD10" s="448"/>
      <c r="FE10" s="448"/>
      <c r="FF10" s="448"/>
      <c r="FG10" s="448"/>
      <c r="FH10" s="448"/>
      <c r="FI10" s="448"/>
      <c r="FJ10" s="448"/>
      <c r="FK10" s="448"/>
      <c r="FL10" s="448"/>
      <c r="FM10" s="448"/>
      <c r="FN10" s="448"/>
      <c r="FO10" s="448"/>
      <c r="FP10" s="448"/>
      <c r="FQ10" s="448"/>
      <c r="FR10" s="448"/>
      <c r="FS10" s="448"/>
      <c r="FT10" s="448"/>
      <c r="FU10" s="448"/>
      <c r="FV10" s="448"/>
      <c r="FW10" s="448"/>
      <c r="FX10" s="448"/>
      <c r="FY10" s="448"/>
      <c r="FZ10" s="448"/>
      <c r="GA10" s="448"/>
      <c r="GB10" s="448"/>
      <c r="GC10" s="448"/>
      <c r="GD10" s="448"/>
      <c r="GE10" s="448"/>
      <c r="GF10" s="448"/>
      <c r="GG10" s="448"/>
      <c r="GH10" s="448"/>
      <c r="GI10" s="448"/>
      <c r="GJ10" s="448"/>
      <c r="GK10" s="448"/>
      <c r="GL10" s="448"/>
      <c r="GM10" s="448"/>
      <c r="GN10" s="448"/>
      <c r="GO10" s="448"/>
      <c r="GP10" s="448"/>
      <c r="GQ10" s="448"/>
      <c r="GR10" s="448"/>
      <c r="GS10" s="448"/>
      <c r="GT10" s="448"/>
      <c r="GU10" s="448"/>
      <c r="GV10" s="448"/>
      <c r="GW10" s="448"/>
      <c r="GX10" s="448"/>
      <c r="GY10" s="448"/>
      <c r="GZ10" s="448"/>
      <c r="HA10" s="448"/>
      <c r="HB10" s="448"/>
      <c r="HC10" s="448"/>
      <c r="HD10" s="448"/>
      <c r="HE10" s="448"/>
      <c r="HF10" s="448"/>
      <c r="HG10" s="448"/>
      <c r="HH10" s="448"/>
      <c r="HI10" s="448"/>
      <c r="HJ10" s="448"/>
      <c r="HK10" s="448"/>
      <c r="HL10" s="448"/>
      <c r="HM10" s="448"/>
      <c r="HN10" s="448"/>
      <c r="HO10" s="448"/>
      <c r="HP10" s="448"/>
      <c r="HQ10" s="448"/>
      <c r="HR10" s="448"/>
      <c r="HS10" s="448"/>
      <c r="HT10" s="448"/>
      <c r="HU10" s="448"/>
      <c r="HV10" s="448"/>
      <c r="HW10" s="448"/>
      <c r="HX10" s="448"/>
      <c r="HY10" s="448"/>
      <c r="HZ10" s="448"/>
      <c r="IA10" s="448"/>
      <c r="IB10" s="448"/>
      <c r="IC10" s="448"/>
      <c r="ID10" s="448"/>
      <c r="IE10" s="448"/>
      <c r="IF10" s="448"/>
      <c r="IG10" s="448"/>
      <c r="IH10" s="448"/>
      <c r="II10" s="448"/>
      <c r="IJ10" s="448"/>
      <c r="IK10" s="448"/>
      <c r="IL10" s="448"/>
      <c r="IM10" s="448"/>
      <c r="IN10" s="448"/>
      <c r="IO10" s="448"/>
      <c r="IP10" s="448"/>
      <c r="IQ10" s="448"/>
      <c r="IR10" s="448"/>
      <c r="IS10" s="448"/>
      <c r="IT10" s="448"/>
      <c r="IU10" s="448"/>
    </row>
    <row r="11" spans="1:255" s="38" customFormat="1" ht="15" customHeight="1">
      <c r="A11" s="4"/>
      <c r="B11" s="5"/>
      <c r="C11" s="26"/>
      <c r="E11" s="65">
        <f>IF('3 Förutsättningar'!G13&lt;&gt;"","",'3 Förutsättningar'!$M$13+1.25)</f>
        <v>2023.25</v>
      </c>
      <c r="F11" s="65">
        <f>IF(E11&lt;&gt;"",E11+1,"")</f>
        <v>2024.25</v>
      </c>
      <c r="G11" s="65">
        <f>IF(F11&lt;&gt;"",F11+1,"")</f>
        <v>2025.25</v>
      </c>
      <c r="H11" s="65">
        <f>IF(G11&lt;&gt;"",G11+1,"")</f>
        <v>2026.25</v>
      </c>
      <c r="I11" s="77"/>
      <c r="J11" s="40"/>
      <c r="K11" s="40"/>
      <c r="L11" s="40"/>
      <c r="M11" s="40"/>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8"/>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448"/>
      <c r="BX11" s="448"/>
      <c r="BY11" s="448"/>
      <c r="BZ11" s="448"/>
      <c r="CA11" s="448"/>
      <c r="CB11" s="448"/>
      <c r="CC11" s="448"/>
      <c r="CD11" s="448"/>
      <c r="CE11" s="448"/>
      <c r="CF11" s="448"/>
      <c r="CG11" s="448"/>
      <c r="CH11" s="448"/>
      <c r="CI11" s="448"/>
      <c r="CJ11" s="448"/>
      <c r="CK11" s="448"/>
      <c r="CL11" s="448"/>
      <c r="CM11" s="448"/>
      <c r="CN11" s="448"/>
      <c r="CO11" s="448"/>
      <c r="CP11" s="448"/>
      <c r="CQ11" s="448"/>
      <c r="CR11" s="448"/>
      <c r="CS11" s="448"/>
      <c r="CT11" s="448"/>
      <c r="CU11" s="448"/>
      <c r="CV11" s="448"/>
      <c r="CW11" s="448"/>
      <c r="CX11" s="448"/>
      <c r="CY11" s="448"/>
      <c r="CZ11" s="448"/>
      <c r="DA11" s="448"/>
      <c r="DB11" s="448"/>
      <c r="DC11" s="448"/>
      <c r="DD11" s="448"/>
      <c r="DE11" s="448"/>
      <c r="DF11" s="448"/>
      <c r="DG11" s="448"/>
      <c r="DH11" s="448"/>
      <c r="DI11" s="448"/>
      <c r="DJ11" s="448"/>
      <c r="DK11" s="448"/>
      <c r="DL11" s="448"/>
      <c r="DM11" s="448"/>
      <c r="DN11" s="448"/>
      <c r="DO11" s="448"/>
      <c r="DP11" s="448"/>
      <c r="DQ11" s="448"/>
      <c r="DR11" s="448"/>
      <c r="DS11" s="448"/>
      <c r="DT11" s="448"/>
      <c r="DU11" s="448"/>
      <c r="DV11" s="448"/>
      <c r="DW11" s="448"/>
      <c r="DX11" s="448"/>
      <c r="DY11" s="448"/>
      <c r="DZ11" s="448"/>
      <c r="EA11" s="448"/>
      <c r="EB11" s="448"/>
      <c r="EC11" s="448"/>
      <c r="ED11" s="448"/>
      <c r="EE11" s="448"/>
      <c r="EF11" s="448"/>
      <c r="EG11" s="448"/>
      <c r="EH11" s="448"/>
      <c r="EI11" s="448"/>
      <c r="EJ11" s="448"/>
      <c r="EK11" s="448"/>
      <c r="EL11" s="448"/>
      <c r="EM11" s="448"/>
      <c r="EN11" s="448"/>
      <c r="EO11" s="448"/>
      <c r="EP11" s="448"/>
      <c r="EQ11" s="448"/>
      <c r="ER11" s="448"/>
      <c r="ES11" s="448"/>
      <c r="ET11" s="448"/>
      <c r="EU11" s="448"/>
      <c r="EV11" s="448"/>
      <c r="EW11" s="448"/>
      <c r="EX11" s="448"/>
      <c r="EY11" s="448"/>
      <c r="EZ11" s="448"/>
      <c r="FA11" s="448"/>
      <c r="FB11" s="448"/>
      <c r="FC11" s="448"/>
      <c r="FD11" s="448"/>
      <c r="FE11" s="448"/>
      <c r="FF11" s="448"/>
      <c r="FG11" s="448"/>
      <c r="FH11" s="448"/>
      <c r="FI11" s="448"/>
      <c r="FJ11" s="448"/>
      <c r="FK11" s="448"/>
      <c r="FL11" s="448"/>
      <c r="FM11" s="448"/>
      <c r="FN11" s="448"/>
      <c r="FO11" s="448"/>
      <c r="FP11" s="448"/>
      <c r="FQ11" s="448"/>
      <c r="FR11" s="448"/>
      <c r="FS11" s="448"/>
      <c r="FT11" s="448"/>
      <c r="FU11" s="448"/>
      <c r="FV11" s="448"/>
      <c r="FW11" s="448"/>
      <c r="FX11" s="448"/>
      <c r="FY11" s="448"/>
      <c r="FZ11" s="448"/>
      <c r="GA11" s="448"/>
      <c r="GB11" s="448"/>
      <c r="GC11" s="448"/>
      <c r="GD11" s="448"/>
      <c r="GE11" s="448"/>
      <c r="GF11" s="448"/>
      <c r="GG11" s="448"/>
      <c r="GH11" s="448"/>
      <c r="GI11" s="448"/>
      <c r="GJ11" s="448"/>
      <c r="GK11" s="448"/>
      <c r="GL11" s="448"/>
      <c r="GM11" s="448"/>
      <c r="GN11" s="448"/>
      <c r="GO11" s="448"/>
      <c r="GP11" s="448"/>
      <c r="GQ11" s="448"/>
      <c r="GR11" s="448"/>
      <c r="GS11" s="448"/>
      <c r="GT11" s="448"/>
      <c r="GU11" s="448"/>
      <c r="GV11" s="448"/>
      <c r="GW11" s="448"/>
      <c r="GX11" s="448"/>
      <c r="GY11" s="448"/>
      <c r="GZ11" s="448"/>
      <c r="HA11" s="448"/>
      <c r="HB11" s="448"/>
      <c r="HC11" s="448"/>
      <c r="HD11" s="448"/>
      <c r="HE11" s="448"/>
      <c r="HF11" s="448"/>
      <c r="HG11" s="448"/>
      <c r="HH11" s="448"/>
      <c r="HI11" s="448"/>
      <c r="HJ11" s="448"/>
      <c r="HK11" s="448"/>
      <c r="HL11" s="448"/>
      <c r="HM11" s="448"/>
      <c r="HN11" s="448"/>
      <c r="HO11" s="448"/>
      <c r="HP11" s="448"/>
      <c r="HQ11" s="448"/>
      <c r="HR11" s="448"/>
      <c r="HS11" s="448"/>
      <c r="HT11" s="448"/>
      <c r="HU11" s="448"/>
      <c r="HV11" s="448"/>
      <c r="HW11" s="448"/>
      <c r="HX11" s="448"/>
      <c r="HY11" s="448"/>
      <c r="HZ11" s="448"/>
      <c r="IA11" s="448"/>
      <c r="IB11" s="448"/>
      <c r="IC11" s="448"/>
      <c r="ID11" s="448"/>
      <c r="IE11" s="448"/>
      <c r="IF11" s="448"/>
      <c r="IG11" s="448"/>
      <c r="IH11" s="448"/>
      <c r="II11" s="448"/>
      <c r="IJ11" s="448"/>
      <c r="IK11" s="448"/>
      <c r="IL11" s="448"/>
      <c r="IM11" s="448"/>
      <c r="IN11" s="448"/>
      <c r="IO11" s="448"/>
      <c r="IP11" s="448"/>
      <c r="IQ11" s="448"/>
      <c r="IR11" s="448"/>
      <c r="IS11" s="448"/>
      <c r="IT11" s="448"/>
      <c r="IU11" s="448"/>
    </row>
    <row r="12" spans="1:255" s="38" customFormat="1" ht="15.75">
      <c r="A12" s="4"/>
      <c r="B12" s="5"/>
      <c r="C12" s="26"/>
      <c r="D12" s="67" t="s">
        <v>48</v>
      </c>
      <c r="E12" s="41"/>
      <c r="F12" s="41"/>
      <c r="G12" s="42"/>
      <c r="H12" s="41"/>
      <c r="I12" s="77"/>
      <c r="J12" s="40"/>
      <c r="K12" s="40"/>
      <c r="L12" s="40"/>
      <c r="M12" s="40"/>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448"/>
      <c r="AV12" s="448"/>
      <c r="AW12" s="448"/>
      <c r="AX12" s="448"/>
      <c r="AY12" s="448"/>
      <c r="AZ12" s="448"/>
      <c r="BA12" s="448"/>
      <c r="BB12" s="448"/>
      <c r="BC12" s="448"/>
      <c r="BD12" s="448"/>
      <c r="BE12" s="448"/>
      <c r="BF12" s="448"/>
      <c r="BG12" s="448"/>
      <c r="BH12" s="448"/>
      <c r="BI12" s="448"/>
      <c r="BJ12" s="448"/>
      <c r="BK12" s="448"/>
      <c r="BL12" s="448"/>
      <c r="BM12" s="448"/>
      <c r="BN12" s="448"/>
      <c r="BO12" s="448"/>
      <c r="BP12" s="448"/>
      <c r="BQ12" s="448"/>
      <c r="BR12" s="448"/>
      <c r="BS12" s="448"/>
      <c r="BT12" s="448"/>
      <c r="BU12" s="448"/>
      <c r="BV12" s="448"/>
      <c r="BW12" s="448"/>
      <c r="BX12" s="448"/>
      <c r="BY12" s="448"/>
      <c r="BZ12" s="448"/>
      <c r="CA12" s="448"/>
      <c r="CB12" s="448"/>
      <c r="CC12" s="448"/>
      <c r="CD12" s="448"/>
      <c r="CE12" s="448"/>
      <c r="CF12" s="448"/>
      <c r="CG12" s="448"/>
      <c r="CH12" s="448"/>
      <c r="CI12" s="448"/>
      <c r="CJ12" s="448"/>
      <c r="CK12" s="448"/>
      <c r="CL12" s="448"/>
      <c r="CM12" s="448"/>
      <c r="CN12" s="448"/>
      <c r="CO12" s="448"/>
      <c r="CP12" s="448"/>
      <c r="CQ12" s="448"/>
      <c r="CR12" s="448"/>
      <c r="CS12" s="448"/>
      <c r="CT12" s="448"/>
      <c r="CU12" s="448"/>
      <c r="CV12" s="448"/>
      <c r="CW12" s="448"/>
      <c r="CX12" s="448"/>
      <c r="CY12" s="448"/>
      <c r="CZ12" s="448"/>
      <c r="DA12" s="448"/>
      <c r="DB12" s="448"/>
      <c r="DC12" s="448"/>
      <c r="DD12" s="448"/>
      <c r="DE12" s="448"/>
      <c r="DF12" s="448"/>
      <c r="DG12" s="448"/>
      <c r="DH12" s="448"/>
      <c r="DI12" s="448"/>
      <c r="DJ12" s="448"/>
      <c r="DK12" s="448"/>
      <c r="DL12" s="448"/>
      <c r="DM12" s="448"/>
      <c r="DN12" s="448"/>
      <c r="DO12" s="448"/>
      <c r="DP12" s="448"/>
      <c r="DQ12" s="448"/>
      <c r="DR12" s="448"/>
      <c r="DS12" s="448"/>
      <c r="DT12" s="448"/>
      <c r="DU12" s="448"/>
      <c r="DV12" s="448"/>
      <c r="DW12" s="448"/>
      <c r="DX12" s="448"/>
      <c r="DY12" s="448"/>
      <c r="DZ12" s="448"/>
      <c r="EA12" s="448"/>
      <c r="EB12" s="448"/>
      <c r="EC12" s="448"/>
      <c r="ED12" s="448"/>
      <c r="EE12" s="448"/>
      <c r="EF12" s="448"/>
      <c r="EG12" s="448"/>
      <c r="EH12" s="448"/>
      <c r="EI12" s="448"/>
      <c r="EJ12" s="448"/>
      <c r="EK12" s="448"/>
      <c r="EL12" s="448"/>
      <c r="EM12" s="448"/>
      <c r="EN12" s="448"/>
      <c r="EO12" s="448"/>
      <c r="EP12" s="448"/>
      <c r="EQ12" s="448"/>
      <c r="ER12" s="448"/>
      <c r="ES12" s="448"/>
      <c r="ET12" s="448"/>
      <c r="EU12" s="448"/>
      <c r="EV12" s="448"/>
      <c r="EW12" s="448"/>
      <c r="EX12" s="448"/>
      <c r="EY12" s="448"/>
      <c r="EZ12" s="448"/>
      <c r="FA12" s="448"/>
      <c r="FB12" s="448"/>
      <c r="FC12" s="448"/>
      <c r="FD12" s="448"/>
      <c r="FE12" s="448"/>
      <c r="FF12" s="448"/>
      <c r="FG12" s="448"/>
      <c r="FH12" s="448"/>
      <c r="FI12" s="448"/>
      <c r="FJ12" s="448"/>
      <c r="FK12" s="448"/>
      <c r="FL12" s="448"/>
      <c r="FM12" s="448"/>
      <c r="FN12" s="448"/>
      <c r="FO12" s="448"/>
      <c r="FP12" s="448"/>
      <c r="FQ12" s="448"/>
      <c r="FR12" s="448"/>
      <c r="FS12" s="448"/>
      <c r="FT12" s="448"/>
      <c r="FU12" s="448"/>
      <c r="FV12" s="448"/>
      <c r="FW12" s="448"/>
      <c r="FX12" s="448"/>
      <c r="FY12" s="448"/>
      <c r="FZ12" s="448"/>
      <c r="GA12" s="448"/>
      <c r="GB12" s="448"/>
      <c r="GC12" s="448"/>
      <c r="GD12" s="448"/>
      <c r="GE12" s="448"/>
      <c r="GF12" s="448"/>
      <c r="GG12" s="448"/>
      <c r="GH12" s="448"/>
      <c r="GI12" s="448"/>
      <c r="GJ12" s="448"/>
      <c r="GK12" s="448"/>
      <c r="GL12" s="448"/>
      <c r="GM12" s="448"/>
      <c r="GN12" s="448"/>
      <c r="GO12" s="448"/>
      <c r="GP12" s="448"/>
      <c r="GQ12" s="448"/>
      <c r="GR12" s="448"/>
      <c r="GS12" s="448"/>
      <c r="GT12" s="448"/>
      <c r="GU12" s="448"/>
      <c r="GV12" s="448"/>
      <c r="GW12" s="448"/>
      <c r="GX12" s="448"/>
      <c r="GY12" s="448"/>
      <c r="GZ12" s="448"/>
      <c r="HA12" s="448"/>
      <c r="HB12" s="448"/>
      <c r="HC12" s="448"/>
      <c r="HD12" s="448"/>
      <c r="HE12" s="448"/>
      <c r="HF12" s="448"/>
      <c r="HG12" s="448"/>
      <c r="HH12" s="448"/>
      <c r="HI12" s="448"/>
      <c r="HJ12" s="448"/>
      <c r="HK12" s="448"/>
      <c r="HL12" s="448"/>
      <c r="HM12" s="448"/>
      <c r="HN12" s="448"/>
      <c r="HO12" s="448"/>
      <c r="HP12" s="448"/>
      <c r="HQ12" s="448"/>
      <c r="HR12" s="448"/>
      <c r="HS12" s="448"/>
      <c r="HT12" s="448"/>
      <c r="HU12" s="448"/>
      <c r="HV12" s="448"/>
      <c r="HW12" s="448"/>
      <c r="HX12" s="448"/>
      <c r="HY12" s="448"/>
      <c r="HZ12" s="448"/>
      <c r="IA12" s="448"/>
      <c r="IB12" s="448"/>
      <c r="IC12" s="448"/>
      <c r="ID12" s="448"/>
      <c r="IE12" s="448"/>
      <c r="IF12" s="448"/>
      <c r="IG12" s="448"/>
      <c r="IH12" s="448"/>
      <c r="II12" s="448"/>
      <c r="IJ12" s="448"/>
      <c r="IK12" s="448"/>
      <c r="IL12" s="448"/>
      <c r="IM12" s="448"/>
      <c r="IN12" s="448"/>
      <c r="IO12" s="448"/>
      <c r="IP12" s="448"/>
      <c r="IQ12" s="448"/>
      <c r="IR12" s="448"/>
      <c r="IS12" s="448"/>
      <c r="IT12" s="448"/>
      <c r="IU12" s="448"/>
    </row>
    <row r="13" spans="1:255" s="38" customFormat="1" ht="15">
      <c r="A13" s="4"/>
      <c r="B13" s="5"/>
      <c r="C13" s="26"/>
      <c r="D13" s="43"/>
      <c r="E13" s="44">
        <f>IF('3 Förutsättningar'!G13&lt;&gt;"","",'3 Förutsättningar'!F13)</f>
        <v>2022</v>
      </c>
      <c r="F13" s="44">
        <f>IF(E13&lt;&gt;"",E13+1,"")</f>
        <v>2023</v>
      </c>
      <c r="G13" s="44">
        <f>IF(F13&lt;&gt;"",F13+1,"")</f>
        <v>2024</v>
      </c>
      <c r="H13" s="44">
        <f>IF(G13&lt;&gt;"",G13+1,"")</f>
        <v>2025</v>
      </c>
      <c r="I13" s="77"/>
      <c r="J13" s="78"/>
      <c r="K13" s="78"/>
      <c r="L13" s="78"/>
      <c r="M13" s="7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448"/>
      <c r="CG13" s="448"/>
      <c r="CH13" s="448"/>
      <c r="CI13" s="448"/>
      <c r="CJ13" s="448"/>
      <c r="CK13" s="448"/>
      <c r="CL13" s="448"/>
      <c r="CM13" s="448"/>
      <c r="CN13" s="448"/>
      <c r="CO13" s="448"/>
      <c r="CP13" s="448"/>
      <c r="CQ13" s="448"/>
      <c r="CR13" s="448"/>
      <c r="CS13" s="448"/>
      <c r="CT13" s="448"/>
      <c r="CU13" s="448"/>
      <c r="CV13" s="448"/>
      <c r="CW13" s="448"/>
      <c r="CX13" s="448"/>
      <c r="CY13" s="448"/>
      <c r="CZ13" s="448"/>
      <c r="DA13" s="448"/>
      <c r="DB13" s="448"/>
      <c r="DC13" s="448"/>
      <c r="DD13" s="448"/>
      <c r="DE13" s="448"/>
      <c r="DF13" s="448"/>
      <c r="DG13" s="448"/>
      <c r="DH13" s="448"/>
      <c r="DI13" s="448"/>
      <c r="DJ13" s="448"/>
      <c r="DK13" s="448"/>
      <c r="DL13" s="448"/>
      <c r="DM13" s="448"/>
      <c r="DN13" s="448"/>
      <c r="DO13" s="448"/>
      <c r="DP13" s="448"/>
      <c r="DQ13" s="448"/>
      <c r="DR13" s="448"/>
      <c r="DS13" s="448"/>
      <c r="DT13" s="448"/>
      <c r="DU13" s="448"/>
      <c r="DV13" s="448"/>
      <c r="DW13" s="448"/>
      <c r="DX13" s="448"/>
      <c r="DY13" s="448"/>
      <c r="DZ13" s="448"/>
      <c r="EA13" s="448"/>
      <c r="EB13" s="448"/>
      <c r="EC13" s="448"/>
      <c r="ED13" s="448"/>
      <c r="EE13" s="448"/>
      <c r="EF13" s="448"/>
      <c r="EG13" s="448"/>
      <c r="EH13" s="448"/>
      <c r="EI13" s="448"/>
      <c r="EJ13" s="448"/>
      <c r="EK13" s="448"/>
      <c r="EL13" s="448"/>
      <c r="EM13" s="448"/>
      <c r="EN13" s="448"/>
      <c r="EO13" s="448"/>
      <c r="EP13" s="448"/>
      <c r="EQ13" s="448"/>
      <c r="ER13" s="448"/>
      <c r="ES13" s="448"/>
      <c r="ET13" s="448"/>
      <c r="EU13" s="448"/>
      <c r="EV13" s="448"/>
      <c r="EW13" s="448"/>
      <c r="EX13" s="448"/>
      <c r="EY13" s="448"/>
      <c r="EZ13" s="448"/>
      <c r="FA13" s="448"/>
      <c r="FB13" s="448"/>
      <c r="FC13" s="448"/>
      <c r="FD13" s="448"/>
      <c r="FE13" s="448"/>
      <c r="FF13" s="448"/>
      <c r="FG13" s="448"/>
      <c r="FH13" s="448"/>
      <c r="FI13" s="448"/>
      <c r="FJ13" s="448"/>
      <c r="FK13" s="448"/>
      <c r="FL13" s="448"/>
      <c r="FM13" s="448"/>
      <c r="FN13" s="448"/>
      <c r="FO13" s="448"/>
      <c r="FP13" s="448"/>
      <c r="FQ13" s="448"/>
      <c r="FR13" s="448"/>
      <c r="FS13" s="448"/>
      <c r="FT13" s="448"/>
      <c r="FU13" s="448"/>
      <c r="FV13" s="448"/>
      <c r="FW13" s="448"/>
      <c r="FX13" s="448"/>
      <c r="FY13" s="448"/>
      <c r="FZ13" s="448"/>
      <c r="GA13" s="448"/>
      <c r="GB13" s="448"/>
      <c r="GC13" s="448"/>
      <c r="GD13" s="448"/>
      <c r="GE13" s="448"/>
      <c r="GF13" s="448"/>
      <c r="GG13" s="448"/>
      <c r="GH13" s="448"/>
      <c r="GI13" s="448"/>
      <c r="GJ13" s="448"/>
      <c r="GK13" s="448"/>
      <c r="GL13" s="448"/>
      <c r="GM13" s="448"/>
      <c r="GN13" s="448"/>
      <c r="GO13" s="448"/>
      <c r="GP13" s="448"/>
      <c r="GQ13" s="448"/>
      <c r="GR13" s="448"/>
      <c r="GS13" s="448"/>
      <c r="GT13" s="448"/>
      <c r="GU13" s="448"/>
      <c r="GV13" s="448"/>
      <c r="GW13" s="448"/>
      <c r="GX13" s="448"/>
      <c r="GY13" s="448"/>
      <c r="GZ13" s="448"/>
      <c r="HA13" s="448"/>
      <c r="HB13" s="448"/>
      <c r="HC13" s="448"/>
      <c r="HD13" s="448"/>
      <c r="HE13" s="448"/>
      <c r="HF13" s="448"/>
      <c r="HG13" s="448"/>
      <c r="HH13" s="448"/>
      <c r="HI13" s="448"/>
      <c r="HJ13" s="448"/>
      <c r="HK13" s="448"/>
      <c r="HL13" s="448"/>
      <c r="HM13" s="448"/>
      <c r="HN13" s="448"/>
      <c r="HO13" s="448"/>
      <c r="HP13" s="448"/>
      <c r="HQ13" s="448"/>
      <c r="HR13" s="448"/>
      <c r="HS13" s="448"/>
      <c r="HT13" s="448"/>
      <c r="HU13" s="448"/>
      <c r="HV13" s="448"/>
      <c r="HW13" s="448"/>
      <c r="HX13" s="448"/>
      <c r="HY13" s="448"/>
      <c r="HZ13" s="448"/>
      <c r="IA13" s="448"/>
      <c r="IB13" s="448"/>
      <c r="IC13" s="448"/>
      <c r="ID13" s="448"/>
      <c r="IE13" s="448"/>
      <c r="IF13" s="448"/>
      <c r="IG13" s="448"/>
      <c r="IH13" s="448"/>
      <c r="II13" s="448"/>
      <c r="IJ13" s="448"/>
      <c r="IK13" s="448"/>
      <c r="IL13" s="448"/>
      <c r="IM13" s="448"/>
      <c r="IN13" s="448"/>
      <c r="IO13" s="448"/>
      <c r="IP13" s="448"/>
      <c r="IQ13" s="448"/>
      <c r="IR13" s="448"/>
      <c r="IS13" s="448"/>
      <c r="IT13" s="448"/>
      <c r="IU13" s="448"/>
    </row>
    <row r="14" spans="1:255" s="38" customFormat="1" ht="15.75" thickBot="1">
      <c r="A14" s="4"/>
      <c r="B14" s="5"/>
      <c r="C14" s="26"/>
      <c r="D14" s="134"/>
      <c r="E14" s="49" t="str">
        <f>IF(E13&lt;&gt;"",CONCATENATE("/",E13+1),"")</f>
        <v>/2023</v>
      </c>
      <c r="F14" s="49" t="str">
        <f>IF(F13&lt;&gt;"",CONCATENATE("/",F13+1),"")</f>
        <v>/2024</v>
      </c>
      <c r="G14" s="49" t="str">
        <f>IF(G13&lt;&gt;"",CONCATENATE("/",G13+1),"")</f>
        <v>/2025</v>
      </c>
      <c r="H14" s="49" t="str">
        <f>IF(H13&lt;&gt;"",CONCATENATE("/",H13+1),"")</f>
        <v>/2026</v>
      </c>
      <c r="I14" s="40"/>
      <c r="J14" s="78"/>
      <c r="K14" s="78"/>
      <c r="L14" s="78"/>
      <c r="M14" s="7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8"/>
      <c r="AV14" s="448"/>
      <c r="AW14" s="448"/>
      <c r="AX14" s="448"/>
      <c r="AY14" s="448"/>
      <c r="AZ14" s="448"/>
      <c r="BA14" s="448"/>
      <c r="BB14" s="448"/>
      <c r="BC14" s="448"/>
      <c r="BD14" s="448"/>
      <c r="BE14" s="448"/>
      <c r="BF14" s="448"/>
      <c r="BG14" s="448"/>
      <c r="BH14" s="448"/>
      <c r="BI14" s="448"/>
      <c r="BJ14" s="448"/>
      <c r="BK14" s="448"/>
      <c r="BL14" s="448"/>
      <c r="BM14" s="448"/>
      <c r="BN14" s="448"/>
      <c r="BO14" s="448"/>
      <c r="BP14" s="448"/>
      <c r="BQ14" s="448"/>
      <c r="BR14" s="448"/>
      <c r="BS14" s="448"/>
      <c r="BT14" s="448"/>
      <c r="BU14" s="448"/>
      <c r="BV14" s="448"/>
      <c r="BW14" s="448"/>
      <c r="BX14" s="448"/>
      <c r="BY14" s="448"/>
      <c r="BZ14" s="448"/>
      <c r="CA14" s="448"/>
      <c r="CB14" s="448"/>
      <c r="CC14" s="448"/>
      <c r="CD14" s="448"/>
      <c r="CE14" s="448"/>
      <c r="CF14" s="448"/>
      <c r="CG14" s="448"/>
      <c r="CH14" s="448"/>
      <c r="CI14" s="448"/>
      <c r="CJ14" s="448"/>
      <c r="CK14" s="448"/>
      <c r="CL14" s="448"/>
      <c r="CM14" s="448"/>
      <c r="CN14" s="448"/>
      <c r="CO14" s="448"/>
      <c r="CP14" s="448"/>
      <c r="CQ14" s="448"/>
      <c r="CR14" s="448"/>
      <c r="CS14" s="448"/>
      <c r="CT14" s="448"/>
      <c r="CU14" s="448"/>
      <c r="CV14" s="448"/>
      <c r="CW14" s="448"/>
      <c r="CX14" s="448"/>
      <c r="CY14" s="448"/>
      <c r="CZ14" s="448"/>
      <c r="DA14" s="448"/>
      <c r="DB14" s="448"/>
      <c r="DC14" s="448"/>
      <c r="DD14" s="448"/>
      <c r="DE14" s="448"/>
      <c r="DF14" s="448"/>
      <c r="DG14" s="448"/>
      <c r="DH14" s="448"/>
      <c r="DI14" s="448"/>
      <c r="DJ14" s="448"/>
      <c r="DK14" s="448"/>
      <c r="DL14" s="448"/>
      <c r="DM14" s="448"/>
      <c r="DN14" s="448"/>
      <c r="DO14" s="448"/>
      <c r="DP14" s="448"/>
      <c r="DQ14" s="448"/>
      <c r="DR14" s="448"/>
      <c r="DS14" s="448"/>
      <c r="DT14" s="448"/>
      <c r="DU14" s="448"/>
      <c r="DV14" s="448"/>
      <c r="DW14" s="448"/>
      <c r="DX14" s="448"/>
      <c r="DY14" s="448"/>
      <c r="DZ14" s="448"/>
      <c r="EA14" s="448"/>
      <c r="EB14" s="448"/>
      <c r="EC14" s="448"/>
      <c r="ED14" s="448"/>
      <c r="EE14" s="448"/>
      <c r="EF14" s="448"/>
      <c r="EG14" s="448"/>
      <c r="EH14" s="448"/>
      <c r="EI14" s="448"/>
      <c r="EJ14" s="448"/>
      <c r="EK14" s="448"/>
      <c r="EL14" s="448"/>
      <c r="EM14" s="448"/>
      <c r="EN14" s="448"/>
      <c r="EO14" s="448"/>
      <c r="EP14" s="448"/>
      <c r="EQ14" s="448"/>
      <c r="ER14" s="448"/>
      <c r="ES14" s="448"/>
      <c r="ET14" s="448"/>
      <c r="EU14" s="448"/>
      <c r="EV14" s="448"/>
      <c r="EW14" s="448"/>
      <c r="EX14" s="448"/>
      <c r="EY14" s="448"/>
      <c r="EZ14" s="448"/>
      <c r="FA14" s="448"/>
      <c r="FB14" s="448"/>
      <c r="FC14" s="448"/>
      <c r="FD14" s="448"/>
      <c r="FE14" s="448"/>
      <c r="FF14" s="448"/>
      <c r="FG14" s="448"/>
      <c r="FH14" s="448"/>
      <c r="FI14" s="448"/>
      <c r="FJ14" s="448"/>
      <c r="FK14" s="448"/>
      <c r="FL14" s="448"/>
      <c r="FM14" s="448"/>
      <c r="FN14" s="448"/>
      <c r="FO14" s="448"/>
      <c r="FP14" s="448"/>
      <c r="FQ14" s="448"/>
      <c r="FR14" s="448"/>
      <c r="FS14" s="448"/>
      <c r="FT14" s="448"/>
      <c r="FU14" s="448"/>
      <c r="FV14" s="448"/>
      <c r="FW14" s="448"/>
      <c r="FX14" s="448"/>
      <c r="FY14" s="448"/>
      <c r="FZ14" s="448"/>
      <c r="GA14" s="448"/>
      <c r="GB14" s="448"/>
      <c r="GC14" s="448"/>
      <c r="GD14" s="448"/>
      <c r="GE14" s="448"/>
      <c r="GF14" s="448"/>
      <c r="GG14" s="448"/>
      <c r="GH14" s="448"/>
      <c r="GI14" s="448"/>
      <c r="GJ14" s="448"/>
      <c r="GK14" s="448"/>
      <c r="GL14" s="448"/>
      <c r="GM14" s="448"/>
      <c r="GN14" s="448"/>
      <c r="GO14" s="448"/>
      <c r="GP14" s="448"/>
      <c r="GQ14" s="448"/>
      <c r="GR14" s="448"/>
      <c r="GS14" s="448"/>
      <c r="GT14" s="448"/>
      <c r="GU14" s="448"/>
      <c r="GV14" s="448"/>
      <c r="GW14" s="448"/>
      <c r="GX14" s="448"/>
      <c r="GY14" s="448"/>
      <c r="GZ14" s="448"/>
      <c r="HA14" s="448"/>
      <c r="HB14" s="448"/>
      <c r="HC14" s="448"/>
      <c r="HD14" s="448"/>
      <c r="HE14" s="448"/>
      <c r="HF14" s="448"/>
      <c r="HG14" s="448"/>
      <c r="HH14" s="448"/>
      <c r="HI14" s="448"/>
      <c r="HJ14" s="448"/>
      <c r="HK14" s="448"/>
      <c r="HL14" s="448"/>
      <c r="HM14" s="448"/>
      <c r="HN14" s="448"/>
      <c r="HO14" s="448"/>
      <c r="HP14" s="448"/>
      <c r="HQ14" s="448"/>
      <c r="HR14" s="448"/>
      <c r="HS14" s="448"/>
      <c r="HT14" s="448"/>
      <c r="HU14" s="448"/>
      <c r="HV14" s="448"/>
      <c r="HW14" s="448"/>
      <c r="HX14" s="448"/>
      <c r="HY14" s="448"/>
      <c r="HZ14" s="448"/>
      <c r="IA14" s="448"/>
      <c r="IB14" s="448"/>
      <c r="IC14" s="448"/>
      <c r="ID14" s="448"/>
      <c r="IE14" s="448"/>
      <c r="IF14" s="448"/>
      <c r="IG14" s="448"/>
      <c r="IH14" s="448"/>
      <c r="II14" s="448"/>
      <c r="IJ14" s="448"/>
      <c r="IK14" s="448"/>
      <c r="IL14" s="448"/>
      <c r="IM14" s="448"/>
      <c r="IN14" s="448"/>
      <c r="IO14" s="448"/>
      <c r="IP14" s="448"/>
      <c r="IQ14" s="448"/>
      <c r="IR14" s="448"/>
      <c r="IS14" s="448"/>
      <c r="IT14" s="448"/>
      <c r="IU14" s="448"/>
    </row>
    <row r="15" spans="1:255" s="38" customFormat="1" ht="15">
      <c r="A15" s="4"/>
      <c r="B15" s="5"/>
      <c r="C15" s="26"/>
      <c r="D15" s="125" t="s">
        <v>92</v>
      </c>
      <c r="E15" s="109">
        <f>IF(AND(D2="",AND(D2="",Kod!$A$7="ja")),E22/'3 Förutsättningar'!F14*1000,"")</f>
        <v>3.1142435666284216</v>
      </c>
      <c r="F15" s="102">
        <v>3</v>
      </c>
      <c r="G15" s="102">
        <v>3</v>
      </c>
      <c r="H15" s="102">
        <v>3</v>
      </c>
      <c r="J15" s="79">
        <f>IF(OR(F15&lt;0,F15=""),"FEL",IF(F15&gt;20,"FEL",""))</f>
      </c>
      <c r="K15" s="79">
        <f>IF(OR(G15&lt;0,G15=""),"FEL",IF(G15&gt;20,"FEL",""))</f>
      </c>
      <c r="L15" s="79">
        <f>IF(OR(H15&lt;0,H15=""),"FEL",IF(H15&gt;20,"FEL",""))</f>
      </c>
      <c r="M15" s="7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8"/>
      <c r="BG15" s="448"/>
      <c r="BH15" s="448"/>
      <c r="BI15" s="448"/>
      <c r="BJ15" s="448"/>
      <c r="BK15" s="448"/>
      <c r="BL15" s="448"/>
      <c r="BM15" s="448"/>
      <c r="BN15" s="448"/>
      <c r="BO15" s="448"/>
      <c r="BP15" s="448"/>
      <c r="BQ15" s="448"/>
      <c r="BR15" s="448"/>
      <c r="BS15" s="448"/>
      <c r="BT15" s="448"/>
      <c r="BU15" s="448"/>
      <c r="BV15" s="448"/>
      <c r="BW15" s="448"/>
      <c r="BX15" s="448"/>
      <c r="BY15" s="448"/>
      <c r="BZ15" s="448"/>
      <c r="CA15" s="448"/>
      <c r="CB15" s="448"/>
      <c r="CC15" s="448"/>
      <c r="CD15" s="448"/>
      <c r="CE15" s="448"/>
      <c r="CF15" s="448"/>
      <c r="CG15" s="448"/>
      <c r="CH15" s="448"/>
      <c r="CI15" s="448"/>
      <c r="CJ15" s="448"/>
      <c r="CK15" s="448"/>
      <c r="CL15" s="448"/>
      <c r="CM15" s="448"/>
      <c r="CN15" s="448"/>
      <c r="CO15" s="448"/>
      <c r="CP15" s="448"/>
      <c r="CQ15" s="448"/>
      <c r="CR15" s="448"/>
      <c r="CS15" s="448"/>
      <c r="CT15" s="448"/>
      <c r="CU15" s="448"/>
      <c r="CV15" s="448"/>
      <c r="CW15" s="448"/>
      <c r="CX15" s="448"/>
      <c r="CY15" s="448"/>
      <c r="CZ15" s="448"/>
      <c r="DA15" s="448"/>
      <c r="DB15" s="448"/>
      <c r="DC15" s="448"/>
      <c r="DD15" s="448"/>
      <c r="DE15" s="448"/>
      <c r="DF15" s="448"/>
      <c r="DG15" s="448"/>
      <c r="DH15" s="448"/>
      <c r="DI15" s="448"/>
      <c r="DJ15" s="448"/>
      <c r="DK15" s="448"/>
      <c r="DL15" s="448"/>
      <c r="DM15" s="448"/>
      <c r="DN15" s="448"/>
      <c r="DO15" s="448"/>
      <c r="DP15" s="448"/>
      <c r="DQ15" s="448"/>
      <c r="DR15" s="448"/>
      <c r="DS15" s="448"/>
      <c r="DT15" s="448"/>
      <c r="DU15" s="448"/>
      <c r="DV15" s="448"/>
      <c r="DW15" s="448"/>
      <c r="DX15" s="448"/>
      <c r="DY15" s="448"/>
      <c r="DZ15" s="448"/>
      <c r="EA15" s="448"/>
      <c r="EB15" s="448"/>
      <c r="EC15" s="448"/>
      <c r="ED15" s="448"/>
      <c r="EE15" s="448"/>
      <c r="EF15" s="448"/>
      <c r="EG15" s="448"/>
      <c r="EH15" s="448"/>
      <c r="EI15" s="448"/>
      <c r="EJ15" s="448"/>
      <c r="EK15" s="448"/>
      <c r="EL15" s="448"/>
      <c r="EM15" s="448"/>
      <c r="EN15" s="448"/>
      <c r="EO15" s="448"/>
      <c r="EP15" s="448"/>
      <c r="EQ15" s="448"/>
      <c r="ER15" s="448"/>
      <c r="ES15" s="448"/>
      <c r="ET15" s="448"/>
      <c r="EU15" s="448"/>
      <c r="EV15" s="448"/>
      <c r="EW15" s="448"/>
      <c r="EX15" s="448"/>
      <c r="EY15" s="448"/>
      <c r="EZ15" s="448"/>
      <c r="FA15" s="448"/>
      <c r="FB15" s="448"/>
      <c r="FC15" s="448"/>
      <c r="FD15" s="448"/>
      <c r="FE15" s="448"/>
      <c r="FF15" s="448"/>
      <c r="FG15" s="448"/>
      <c r="FH15" s="448"/>
      <c r="FI15" s="448"/>
      <c r="FJ15" s="448"/>
      <c r="FK15" s="448"/>
      <c r="FL15" s="448"/>
      <c r="FM15" s="448"/>
      <c r="FN15" s="448"/>
      <c r="FO15" s="448"/>
      <c r="FP15" s="448"/>
      <c r="FQ15" s="448"/>
      <c r="FR15" s="448"/>
      <c r="FS15" s="448"/>
      <c r="FT15" s="448"/>
      <c r="FU15" s="448"/>
      <c r="FV15" s="448"/>
      <c r="FW15" s="448"/>
      <c r="FX15" s="448"/>
      <c r="FY15" s="448"/>
      <c r="FZ15" s="448"/>
      <c r="GA15" s="448"/>
      <c r="GB15" s="448"/>
      <c r="GC15" s="448"/>
      <c r="GD15" s="448"/>
      <c r="GE15" s="448"/>
      <c r="GF15" s="448"/>
      <c r="GG15" s="448"/>
      <c r="GH15" s="448"/>
      <c r="GI15" s="448"/>
      <c r="GJ15" s="448"/>
      <c r="GK15" s="448"/>
      <c r="GL15" s="448"/>
      <c r="GM15" s="448"/>
      <c r="GN15" s="448"/>
      <c r="GO15" s="448"/>
      <c r="GP15" s="448"/>
      <c r="GQ15" s="448"/>
      <c r="GR15" s="448"/>
      <c r="GS15" s="448"/>
      <c r="GT15" s="448"/>
      <c r="GU15" s="448"/>
      <c r="GV15" s="448"/>
      <c r="GW15" s="448"/>
      <c r="GX15" s="448"/>
      <c r="GY15" s="448"/>
      <c r="GZ15" s="448"/>
      <c r="HA15" s="448"/>
      <c r="HB15" s="448"/>
      <c r="HC15" s="448"/>
      <c r="HD15" s="448"/>
      <c r="HE15" s="448"/>
      <c r="HF15" s="448"/>
      <c r="HG15" s="448"/>
      <c r="HH15" s="448"/>
      <c r="HI15" s="448"/>
      <c r="HJ15" s="448"/>
      <c r="HK15" s="448"/>
      <c r="HL15" s="448"/>
      <c r="HM15" s="448"/>
      <c r="HN15" s="448"/>
      <c r="HO15" s="448"/>
      <c r="HP15" s="448"/>
      <c r="HQ15" s="448"/>
      <c r="HR15" s="448"/>
      <c r="HS15" s="448"/>
      <c r="HT15" s="448"/>
      <c r="HU15" s="448"/>
      <c r="HV15" s="448"/>
      <c r="HW15" s="448"/>
      <c r="HX15" s="448"/>
      <c r="HY15" s="448"/>
      <c r="HZ15" s="448"/>
      <c r="IA15" s="448"/>
      <c r="IB15" s="448"/>
      <c r="IC15" s="448"/>
      <c r="ID15" s="448"/>
      <c r="IE15" s="448"/>
      <c r="IF15" s="448"/>
      <c r="IG15" s="448"/>
      <c r="IH15" s="448"/>
      <c r="II15" s="448"/>
      <c r="IJ15" s="448"/>
      <c r="IK15" s="448"/>
      <c r="IL15" s="448"/>
      <c r="IM15" s="448"/>
      <c r="IN15" s="448"/>
      <c r="IO15" s="448"/>
      <c r="IP15" s="448"/>
      <c r="IQ15" s="448"/>
      <c r="IR15" s="448"/>
      <c r="IS15" s="448"/>
      <c r="IT15" s="448"/>
      <c r="IU15" s="448"/>
    </row>
    <row r="16" spans="1:255" s="38" customFormat="1" ht="15">
      <c r="A16" s="4"/>
      <c r="B16" s="5"/>
      <c r="C16" s="26"/>
      <c r="D16" s="122" t="s">
        <v>43</v>
      </c>
      <c r="E16" s="110">
        <f>IF(AND(D2="",Kod!$A$7="ja",SUM(E19:E20)&gt;0),E19/SUM(E19:E20),"")</f>
        <v>0.5333333333333333</v>
      </c>
      <c r="F16" s="103">
        <v>0.5</v>
      </c>
      <c r="G16" s="103">
        <v>0.5</v>
      </c>
      <c r="H16" s="103">
        <v>0.5</v>
      </c>
      <c r="J16" s="79">
        <f aca="true" t="shared" si="0" ref="J16:L17">IF(OR(F16&lt;0,F16=""),"FEL",IF(F16&gt;1,"FEL",""))</f>
      </c>
      <c r="K16" s="79">
        <f t="shared" si="0"/>
      </c>
      <c r="L16" s="79">
        <f t="shared" si="0"/>
      </c>
      <c r="M16" s="7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448"/>
      <c r="BF16" s="448"/>
      <c r="BG16" s="448"/>
      <c r="BH16" s="448"/>
      <c r="BI16" s="448"/>
      <c r="BJ16" s="448"/>
      <c r="BK16" s="448"/>
      <c r="BL16" s="448"/>
      <c r="BM16" s="448"/>
      <c r="BN16" s="448"/>
      <c r="BO16" s="448"/>
      <c r="BP16" s="448"/>
      <c r="BQ16" s="448"/>
      <c r="BR16" s="448"/>
      <c r="BS16" s="448"/>
      <c r="BT16" s="448"/>
      <c r="BU16" s="448"/>
      <c r="BV16" s="448"/>
      <c r="BW16" s="448"/>
      <c r="BX16" s="448"/>
      <c r="BY16" s="448"/>
      <c r="BZ16" s="448"/>
      <c r="CA16" s="448"/>
      <c r="CB16" s="448"/>
      <c r="CC16" s="448"/>
      <c r="CD16" s="448"/>
      <c r="CE16" s="448"/>
      <c r="CF16" s="448"/>
      <c r="CG16" s="448"/>
      <c r="CH16" s="448"/>
      <c r="CI16" s="448"/>
      <c r="CJ16" s="448"/>
      <c r="CK16" s="448"/>
      <c r="CL16" s="448"/>
      <c r="CM16" s="448"/>
      <c r="CN16" s="448"/>
      <c r="CO16" s="448"/>
      <c r="CP16" s="448"/>
      <c r="CQ16" s="448"/>
      <c r="CR16" s="448"/>
      <c r="CS16" s="448"/>
      <c r="CT16" s="448"/>
      <c r="CU16" s="448"/>
      <c r="CV16" s="448"/>
      <c r="CW16" s="448"/>
      <c r="CX16" s="448"/>
      <c r="CY16" s="448"/>
      <c r="CZ16" s="448"/>
      <c r="DA16" s="448"/>
      <c r="DB16" s="448"/>
      <c r="DC16" s="448"/>
      <c r="DD16" s="448"/>
      <c r="DE16" s="448"/>
      <c r="DF16" s="448"/>
      <c r="DG16" s="448"/>
      <c r="DH16" s="448"/>
      <c r="DI16" s="448"/>
      <c r="DJ16" s="448"/>
      <c r="DK16" s="448"/>
      <c r="DL16" s="448"/>
      <c r="DM16" s="448"/>
      <c r="DN16" s="448"/>
      <c r="DO16" s="448"/>
      <c r="DP16" s="448"/>
      <c r="DQ16" s="448"/>
      <c r="DR16" s="448"/>
      <c r="DS16" s="448"/>
      <c r="DT16" s="448"/>
      <c r="DU16" s="448"/>
      <c r="DV16" s="448"/>
      <c r="DW16" s="448"/>
      <c r="DX16" s="448"/>
      <c r="DY16" s="448"/>
      <c r="DZ16" s="448"/>
      <c r="EA16" s="448"/>
      <c r="EB16" s="448"/>
      <c r="EC16" s="448"/>
      <c r="ED16" s="448"/>
      <c r="EE16" s="448"/>
      <c r="EF16" s="448"/>
      <c r="EG16" s="448"/>
      <c r="EH16" s="448"/>
      <c r="EI16" s="448"/>
      <c r="EJ16" s="448"/>
      <c r="EK16" s="448"/>
      <c r="EL16" s="448"/>
      <c r="EM16" s="448"/>
      <c r="EN16" s="448"/>
      <c r="EO16" s="448"/>
      <c r="EP16" s="448"/>
      <c r="EQ16" s="448"/>
      <c r="ER16" s="448"/>
      <c r="ES16" s="448"/>
      <c r="ET16" s="448"/>
      <c r="EU16" s="448"/>
      <c r="EV16" s="448"/>
      <c r="EW16" s="448"/>
      <c r="EX16" s="448"/>
      <c r="EY16" s="448"/>
      <c r="EZ16" s="448"/>
      <c r="FA16" s="448"/>
      <c r="FB16" s="448"/>
      <c r="FC16" s="448"/>
      <c r="FD16" s="448"/>
      <c r="FE16" s="448"/>
      <c r="FF16" s="448"/>
      <c r="FG16" s="448"/>
      <c r="FH16" s="448"/>
      <c r="FI16" s="448"/>
      <c r="FJ16" s="448"/>
      <c r="FK16" s="448"/>
      <c r="FL16" s="448"/>
      <c r="FM16" s="448"/>
      <c r="FN16" s="448"/>
      <c r="FO16" s="448"/>
      <c r="FP16" s="448"/>
      <c r="FQ16" s="448"/>
      <c r="FR16" s="448"/>
      <c r="FS16" s="448"/>
      <c r="FT16" s="448"/>
      <c r="FU16" s="448"/>
      <c r="FV16" s="448"/>
      <c r="FW16" s="448"/>
      <c r="FX16" s="448"/>
      <c r="FY16" s="448"/>
      <c r="FZ16" s="448"/>
      <c r="GA16" s="448"/>
      <c r="GB16" s="448"/>
      <c r="GC16" s="448"/>
      <c r="GD16" s="448"/>
      <c r="GE16" s="448"/>
      <c r="GF16" s="448"/>
      <c r="GG16" s="448"/>
      <c r="GH16" s="448"/>
      <c r="GI16" s="448"/>
      <c r="GJ16" s="448"/>
      <c r="GK16" s="448"/>
      <c r="GL16" s="448"/>
      <c r="GM16" s="448"/>
      <c r="GN16" s="448"/>
      <c r="GO16" s="448"/>
      <c r="GP16" s="448"/>
      <c r="GQ16" s="448"/>
      <c r="GR16" s="448"/>
      <c r="GS16" s="448"/>
      <c r="GT16" s="448"/>
      <c r="GU16" s="448"/>
      <c r="GV16" s="448"/>
      <c r="GW16" s="448"/>
      <c r="GX16" s="448"/>
      <c r="GY16" s="448"/>
      <c r="GZ16" s="448"/>
      <c r="HA16" s="448"/>
      <c r="HB16" s="448"/>
      <c r="HC16" s="448"/>
      <c r="HD16" s="448"/>
      <c r="HE16" s="448"/>
      <c r="HF16" s="448"/>
      <c r="HG16" s="448"/>
      <c r="HH16" s="448"/>
      <c r="HI16" s="448"/>
      <c r="HJ16" s="448"/>
      <c r="HK16" s="448"/>
      <c r="HL16" s="448"/>
      <c r="HM16" s="448"/>
      <c r="HN16" s="448"/>
      <c r="HO16" s="448"/>
      <c r="HP16" s="448"/>
      <c r="HQ16" s="448"/>
      <c r="HR16" s="448"/>
      <c r="HS16" s="448"/>
      <c r="HT16" s="448"/>
      <c r="HU16" s="448"/>
      <c r="HV16" s="448"/>
      <c r="HW16" s="448"/>
      <c r="HX16" s="448"/>
      <c r="HY16" s="448"/>
      <c r="HZ16" s="448"/>
      <c r="IA16" s="448"/>
      <c r="IB16" s="448"/>
      <c r="IC16" s="448"/>
      <c r="ID16" s="448"/>
      <c r="IE16" s="448"/>
      <c r="IF16" s="448"/>
      <c r="IG16" s="448"/>
      <c r="IH16" s="448"/>
      <c r="II16" s="448"/>
      <c r="IJ16" s="448"/>
      <c r="IK16" s="448"/>
      <c r="IL16" s="448"/>
      <c r="IM16" s="448"/>
      <c r="IN16" s="448"/>
      <c r="IO16" s="448"/>
      <c r="IP16" s="448"/>
      <c r="IQ16" s="448"/>
      <c r="IR16" s="448"/>
      <c r="IS16" s="448"/>
      <c r="IT16" s="448"/>
      <c r="IU16" s="448"/>
    </row>
    <row r="17" spans="1:255" s="38" customFormat="1" ht="15.75" thickBot="1">
      <c r="A17" s="4"/>
      <c r="B17" s="5"/>
      <c r="C17" s="26"/>
      <c r="D17" s="126" t="s">
        <v>119</v>
      </c>
      <c r="E17" s="111">
        <f>IF(AND(D2="",Kod!$A$7="ja",SUM(E19:E21)&gt;0),E21/SUM(E19:E21),"")</f>
        <v>0.47368421052631576</v>
      </c>
      <c r="F17" s="103">
        <v>0.49</v>
      </c>
      <c r="G17" s="103">
        <v>0.48</v>
      </c>
      <c r="H17" s="103">
        <v>0.48</v>
      </c>
      <c r="J17" s="79">
        <f t="shared" si="0"/>
      </c>
      <c r="K17" s="79">
        <f t="shared" si="0"/>
      </c>
      <c r="L17" s="79">
        <f t="shared" si="0"/>
      </c>
      <c r="M17" s="80">
        <f>IF(OR(J15&lt;&gt;"",J16&lt;&gt;"",J17&lt;&gt;"",K15&lt;&gt;"",K16&lt;&gt;"",K17&lt;&gt;"",L15&lt;&gt;"",L16&lt;&gt;"",L17&lt;&gt;""),"FEL","")</f>
      </c>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8"/>
      <c r="BE17" s="448"/>
      <c r="BF17" s="448"/>
      <c r="BG17" s="448"/>
      <c r="BH17" s="448"/>
      <c r="BI17" s="448"/>
      <c r="BJ17" s="448"/>
      <c r="BK17" s="448"/>
      <c r="BL17" s="448"/>
      <c r="BM17" s="448"/>
      <c r="BN17" s="448"/>
      <c r="BO17" s="448"/>
      <c r="BP17" s="448"/>
      <c r="BQ17" s="448"/>
      <c r="BR17" s="448"/>
      <c r="BS17" s="448"/>
      <c r="BT17" s="448"/>
      <c r="BU17" s="448"/>
      <c r="BV17" s="448"/>
      <c r="BW17" s="448"/>
      <c r="BX17" s="448"/>
      <c r="BY17" s="448"/>
      <c r="BZ17" s="448"/>
      <c r="CA17" s="448"/>
      <c r="CB17" s="448"/>
      <c r="CC17" s="448"/>
      <c r="CD17" s="448"/>
      <c r="CE17" s="448"/>
      <c r="CF17" s="448"/>
      <c r="CG17" s="448"/>
      <c r="CH17" s="448"/>
      <c r="CI17" s="448"/>
      <c r="CJ17" s="448"/>
      <c r="CK17" s="448"/>
      <c r="CL17" s="448"/>
      <c r="CM17" s="448"/>
      <c r="CN17" s="448"/>
      <c r="CO17" s="448"/>
      <c r="CP17" s="448"/>
      <c r="CQ17" s="448"/>
      <c r="CR17" s="448"/>
      <c r="CS17" s="448"/>
      <c r="CT17" s="448"/>
      <c r="CU17" s="448"/>
      <c r="CV17" s="448"/>
      <c r="CW17" s="448"/>
      <c r="CX17" s="448"/>
      <c r="CY17" s="448"/>
      <c r="CZ17" s="448"/>
      <c r="DA17" s="448"/>
      <c r="DB17" s="448"/>
      <c r="DC17" s="448"/>
      <c r="DD17" s="448"/>
      <c r="DE17" s="448"/>
      <c r="DF17" s="448"/>
      <c r="DG17" s="448"/>
      <c r="DH17" s="448"/>
      <c r="DI17" s="448"/>
      <c r="DJ17" s="448"/>
      <c r="DK17" s="448"/>
      <c r="DL17" s="448"/>
      <c r="DM17" s="448"/>
      <c r="DN17" s="448"/>
      <c r="DO17" s="448"/>
      <c r="DP17" s="448"/>
      <c r="DQ17" s="448"/>
      <c r="DR17" s="448"/>
      <c r="DS17" s="448"/>
      <c r="DT17" s="448"/>
      <c r="DU17" s="448"/>
      <c r="DV17" s="448"/>
      <c r="DW17" s="448"/>
      <c r="DX17" s="448"/>
      <c r="DY17" s="448"/>
      <c r="DZ17" s="448"/>
      <c r="EA17" s="448"/>
      <c r="EB17" s="448"/>
      <c r="EC17" s="448"/>
      <c r="ED17" s="448"/>
      <c r="EE17" s="448"/>
      <c r="EF17" s="448"/>
      <c r="EG17" s="448"/>
      <c r="EH17" s="448"/>
      <c r="EI17" s="448"/>
      <c r="EJ17" s="448"/>
      <c r="EK17" s="448"/>
      <c r="EL17" s="448"/>
      <c r="EM17" s="448"/>
      <c r="EN17" s="448"/>
      <c r="EO17" s="448"/>
      <c r="EP17" s="448"/>
      <c r="EQ17" s="448"/>
      <c r="ER17" s="448"/>
      <c r="ES17" s="448"/>
      <c r="ET17" s="448"/>
      <c r="EU17" s="448"/>
      <c r="EV17" s="448"/>
      <c r="EW17" s="448"/>
      <c r="EX17" s="448"/>
      <c r="EY17" s="448"/>
      <c r="EZ17" s="448"/>
      <c r="FA17" s="448"/>
      <c r="FB17" s="448"/>
      <c r="FC17" s="448"/>
      <c r="FD17" s="448"/>
      <c r="FE17" s="448"/>
      <c r="FF17" s="448"/>
      <c r="FG17" s="448"/>
      <c r="FH17" s="448"/>
      <c r="FI17" s="448"/>
      <c r="FJ17" s="448"/>
      <c r="FK17" s="448"/>
      <c r="FL17" s="448"/>
      <c r="FM17" s="448"/>
      <c r="FN17" s="448"/>
      <c r="FO17" s="448"/>
      <c r="FP17" s="448"/>
      <c r="FQ17" s="448"/>
      <c r="FR17" s="448"/>
      <c r="FS17" s="448"/>
      <c r="FT17" s="448"/>
      <c r="FU17" s="448"/>
      <c r="FV17" s="448"/>
      <c r="FW17" s="448"/>
      <c r="FX17" s="448"/>
      <c r="FY17" s="448"/>
      <c r="FZ17" s="448"/>
      <c r="GA17" s="448"/>
      <c r="GB17" s="448"/>
      <c r="GC17" s="448"/>
      <c r="GD17" s="448"/>
      <c r="GE17" s="448"/>
      <c r="GF17" s="448"/>
      <c r="GG17" s="448"/>
      <c r="GH17" s="448"/>
      <c r="GI17" s="448"/>
      <c r="GJ17" s="448"/>
      <c r="GK17" s="448"/>
      <c r="GL17" s="448"/>
      <c r="GM17" s="448"/>
      <c r="GN17" s="448"/>
      <c r="GO17" s="448"/>
      <c r="GP17" s="448"/>
      <c r="GQ17" s="448"/>
      <c r="GR17" s="448"/>
      <c r="GS17" s="448"/>
      <c r="GT17" s="448"/>
      <c r="GU17" s="448"/>
      <c r="GV17" s="448"/>
      <c r="GW17" s="448"/>
      <c r="GX17" s="448"/>
      <c r="GY17" s="448"/>
      <c r="GZ17" s="448"/>
      <c r="HA17" s="448"/>
      <c r="HB17" s="448"/>
      <c r="HC17" s="448"/>
      <c r="HD17" s="448"/>
      <c r="HE17" s="448"/>
      <c r="HF17" s="448"/>
      <c r="HG17" s="448"/>
      <c r="HH17" s="448"/>
      <c r="HI17" s="448"/>
      <c r="HJ17" s="448"/>
      <c r="HK17" s="448"/>
      <c r="HL17" s="448"/>
      <c r="HM17" s="448"/>
      <c r="HN17" s="448"/>
      <c r="HO17" s="448"/>
      <c r="HP17" s="448"/>
      <c r="HQ17" s="448"/>
      <c r="HR17" s="448"/>
      <c r="HS17" s="448"/>
      <c r="HT17" s="448"/>
      <c r="HU17" s="448"/>
      <c r="HV17" s="448"/>
      <c r="HW17" s="448"/>
      <c r="HX17" s="448"/>
      <c r="HY17" s="448"/>
      <c r="HZ17" s="448"/>
      <c r="IA17" s="448"/>
      <c r="IB17" s="448"/>
      <c r="IC17" s="448"/>
      <c r="ID17" s="448"/>
      <c r="IE17" s="448"/>
      <c r="IF17" s="448"/>
      <c r="IG17" s="448"/>
      <c r="IH17" s="448"/>
      <c r="II17" s="448"/>
      <c r="IJ17" s="448"/>
      <c r="IK17" s="448"/>
      <c r="IL17" s="448"/>
      <c r="IM17" s="448"/>
      <c r="IN17" s="448"/>
      <c r="IO17" s="448"/>
      <c r="IP17" s="448"/>
      <c r="IQ17" s="448"/>
      <c r="IR17" s="448"/>
      <c r="IS17" s="448"/>
      <c r="IT17" s="448"/>
      <c r="IU17" s="448"/>
    </row>
    <row r="18" spans="1:255" s="38" customFormat="1" ht="15.75" thickBot="1">
      <c r="A18" s="4"/>
      <c r="B18" s="5"/>
      <c r="C18" s="26"/>
      <c r="E18" s="54"/>
      <c r="F18" s="54"/>
      <c r="G18" s="54"/>
      <c r="H18" s="54"/>
      <c r="I18" s="40"/>
      <c r="J18" s="78"/>
      <c r="K18" s="78"/>
      <c r="L18" s="78"/>
      <c r="M18" s="7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8"/>
      <c r="AZ18" s="448"/>
      <c r="BA18" s="448"/>
      <c r="BB18" s="448"/>
      <c r="BC18" s="448"/>
      <c r="BD18" s="448"/>
      <c r="BE18" s="448"/>
      <c r="BF18" s="448"/>
      <c r="BG18" s="448"/>
      <c r="BH18" s="448"/>
      <c r="BI18" s="448"/>
      <c r="BJ18" s="448"/>
      <c r="BK18" s="448"/>
      <c r="BL18" s="448"/>
      <c r="BM18" s="448"/>
      <c r="BN18" s="448"/>
      <c r="BO18" s="448"/>
      <c r="BP18" s="448"/>
      <c r="BQ18" s="448"/>
      <c r="BR18" s="448"/>
      <c r="BS18" s="448"/>
      <c r="BT18" s="448"/>
      <c r="BU18" s="448"/>
      <c r="BV18" s="448"/>
      <c r="BW18" s="448"/>
      <c r="BX18" s="448"/>
      <c r="BY18" s="448"/>
      <c r="BZ18" s="448"/>
      <c r="CA18" s="448"/>
      <c r="CB18" s="448"/>
      <c r="CC18" s="448"/>
      <c r="CD18" s="448"/>
      <c r="CE18" s="448"/>
      <c r="CF18" s="448"/>
      <c r="CG18" s="448"/>
      <c r="CH18" s="448"/>
      <c r="CI18" s="448"/>
      <c r="CJ18" s="448"/>
      <c r="CK18" s="448"/>
      <c r="CL18" s="448"/>
      <c r="CM18" s="448"/>
      <c r="CN18" s="448"/>
      <c r="CO18" s="448"/>
      <c r="CP18" s="448"/>
      <c r="CQ18" s="448"/>
      <c r="CR18" s="448"/>
      <c r="CS18" s="448"/>
      <c r="CT18" s="448"/>
      <c r="CU18" s="448"/>
      <c r="CV18" s="448"/>
      <c r="CW18" s="448"/>
      <c r="CX18" s="448"/>
      <c r="CY18" s="448"/>
      <c r="CZ18" s="448"/>
      <c r="DA18" s="448"/>
      <c r="DB18" s="448"/>
      <c r="DC18" s="448"/>
      <c r="DD18" s="448"/>
      <c r="DE18" s="448"/>
      <c r="DF18" s="448"/>
      <c r="DG18" s="448"/>
      <c r="DH18" s="448"/>
      <c r="DI18" s="448"/>
      <c r="DJ18" s="448"/>
      <c r="DK18" s="448"/>
      <c r="DL18" s="448"/>
      <c r="DM18" s="448"/>
      <c r="DN18" s="448"/>
      <c r="DO18" s="448"/>
      <c r="DP18" s="448"/>
      <c r="DQ18" s="448"/>
      <c r="DR18" s="448"/>
      <c r="DS18" s="448"/>
      <c r="DT18" s="448"/>
      <c r="DU18" s="448"/>
      <c r="DV18" s="448"/>
      <c r="DW18" s="448"/>
      <c r="DX18" s="448"/>
      <c r="DY18" s="448"/>
      <c r="DZ18" s="448"/>
      <c r="EA18" s="448"/>
      <c r="EB18" s="448"/>
      <c r="EC18" s="448"/>
      <c r="ED18" s="448"/>
      <c r="EE18" s="448"/>
      <c r="EF18" s="448"/>
      <c r="EG18" s="448"/>
      <c r="EH18" s="448"/>
      <c r="EI18" s="448"/>
      <c r="EJ18" s="448"/>
      <c r="EK18" s="448"/>
      <c r="EL18" s="448"/>
      <c r="EM18" s="448"/>
      <c r="EN18" s="448"/>
      <c r="EO18" s="448"/>
      <c r="EP18" s="448"/>
      <c r="EQ18" s="448"/>
      <c r="ER18" s="448"/>
      <c r="ES18" s="448"/>
      <c r="ET18" s="448"/>
      <c r="EU18" s="448"/>
      <c r="EV18" s="448"/>
      <c r="EW18" s="448"/>
      <c r="EX18" s="448"/>
      <c r="EY18" s="448"/>
      <c r="EZ18" s="448"/>
      <c r="FA18" s="448"/>
      <c r="FB18" s="448"/>
      <c r="FC18" s="448"/>
      <c r="FD18" s="448"/>
      <c r="FE18" s="448"/>
      <c r="FF18" s="448"/>
      <c r="FG18" s="448"/>
      <c r="FH18" s="448"/>
      <c r="FI18" s="448"/>
      <c r="FJ18" s="448"/>
      <c r="FK18" s="448"/>
      <c r="FL18" s="448"/>
      <c r="FM18" s="448"/>
      <c r="FN18" s="448"/>
      <c r="FO18" s="448"/>
      <c r="FP18" s="448"/>
      <c r="FQ18" s="448"/>
      <c r="FR18" s="448"/>
      <c r="FS18" s="448"/>
      <c r="FT18" s="448"/>
      <c r="FU18" s="448"/>
      <c r="FV18" s="448"/>
      <c r="FW18" s="448"/>
      <c r="FX18" s="448"/>
      <c r="FY18" s="448"/>
      <c r="FZ18" s="448"/>
      <c r="GA18" s="448"/>
      <c r="GB18" s="448"/>
      <c r="GC18" s="448"/>
      <c r="GD18" s="448"/>
      <c r="GE18" s="448"/>
      <c r="GF18" s="448"/>
      <c r="GG18" s="448"/>
      <c r="GH18" s="448"/>
      <c r="GI18" s="448"/>
      <c r="GJ18" s="448"/>
      <c r="GK18" s="448"/>
      <c r="GL18" s="448"/>
      <c r="GM18" s="448"/>
      <c r="GN18" s="448"/>
      <c r="GO18" s="448"/>
      <c r="GP18" s="448"/>
      <c r="GQ18" s="448"/>
      <c r="GR18" s="448"/>
      <c r="GS18" s="448"/>
      <c r="GT18" s="448"/>
      <c r="GU18" s="448"/>
      <c r="GV18" s="448"/>
      <c r="GW18" s="448"/>
      <c r="GX18" s="448"/>
      <c r="GY18" s="448"/>
      <c r="GZ18" s="448"/>
      <c r="HA18" s="448"/>
      <c r="HB18" s="448"/>
      <c r="HC18" s="448"/>
      <c r="HD18" s="448"/>
      <c r="HE18" s="448"/>
      <c r="HF18" s="448"/>
      <c r="HG18" s="448"/>
      <c r="HH18" s="448"/>
      <c r="HI18" s="448"/>
      <c r="HJ18" s="448"/>
      <c r="HK18" s="448"/>
      <c r="HL18" s="448"/>
      <c r="HM18" s="448"/>
      <c r="HN18" s="448"/>
      <c r="HO18" s="448"/>
      <c r="HP18" s="448"/>
      <c r="HQ18" s="448"/>
      <c r="HR18" s="448"/>
      <c r="HS18" s="448"/>
      <c r="HT18" s="448"/>
      <c r="HU18" s="448"/>
      <c r="HV18" s="448"/>
      <c r="HW18" s="448"/>
      <c r="HX18" s="448"/>
      <c r="HY18" s="448"/>
      <c r="HZ18" s="448"/>
      <c r="IA18" s="448"/>
      <c r="IB18" s="448"/>
      <c r="IC18" s="448"/>
      <c r="ID18" s="448"/>
      <c r="IE18" s="448"/>
      <c r="IF18" s="448"/>
      <c r="IG18" s="448"/>
      <c r="IH18" s="448"/>
      <c r="II18" s="448"/>
      <c r="IJ18" s="448"/>
      <c r="IK18" s="448"/>
      <c r="IL18" s="448"/>
      <c r="IM18" s="448"/>
      <c r="IN18" s="448"/>
      <c r="IO18" s="448"/>
      <c r="IP18" s="448"/>
      <c r="IQ18" s="448"/>
      <c r="IR18" s="448"/>
      <c r="IS18" s="448"/>
      <c r="IT18" s="448"/>
      <c r="IU18" s="448"/>
    </row>
    <row r="19" spans="1:255" s="38" customFormat="1" ht="15">
      <c r="A19" s="4"/>
      <c r="B19" s="5"/>
      <c r="C19" s="26"/>
      <c r="D19" s="125" t="s">
        <v>11</v>
      </c>
      <c r="E19" s="112">
        <f>IF(AND(D2="",Kod!$A$7="ja"),'3 Förutsättningar'!F28,"")</f>
        <v>16</v>
      </c>
      <c r="F19" s="104">
        <f>IF(AND($M$17&lt;&gt;"FEL",AND($D$2="",Kod!$A$7="ja")),F15*'3 Förutsättningar'!$F$14/1000*(1-F17)*F16,"")</f>
        <v>14.001795</v>
      </c>
      <c r="G19" s="104">
        <f>IF(AND($M$17&lt;&gt;"FEL",AND($D$2="",Kod!$A$7="ja")),G15*'3 Förutsättningar'!$F$14/1000*(1-G17)*G16,"")</f>
        <v>14.27634</v>
      </c>
      <c r="H19" s="104">
        <f>IF(AND($M$17&lt;&gt;"FEL",AND($D$2="",Kod!$A$7="ja")),H15*'3 Förutsättningar'!$F$14/1000*(1-H17)*H16,"")</f>
        <v>14.27634</v>
      </c>
      <c r="I19" s="40"/>
      <c r="J19" s="78"/>
      <c r="K19" s="78"/>
      <c r="L19" s="78"/>
      <c r="M19" s="7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c r="BE19" s="448"/>
      <c r="BF19" s="448"/>
      <c r="BG19" s="448"/>
      <c r="BH19" s="448"/>
      <c r="BI19" s="448"/>
      <c r="BJ19" s="448"/>
      <c r="BK19" s="448"/>
      <c r="BL19" s="448"/>
      <c r="BM19" s="448"/>
      <c r="BN19" s="448"/>
      <c r="BO19" s="448"/>
      <c r="BP19" s="448"/>
      <c r="BQ19" s="448"/>
      <c r="BR19" s="448"/>
      <c r="BS19" s="448"/>
      <c r="BT19" s="448"/>
      <c r="BU19" s="448"/>
      <c r="BV19" s="448"/>
      <c r="BW19" s="448"/>
      <c r="BX19" s="448"/>
      <c r="BY19" s="448"/>
      <c r="BZ19" s="448"/>
      <c r="CA19" s="448"/>
      <c r="CB19" s="448"/>
      <c r="CC19" s="448"/>
      <c r="CD19" s="448"/>
      <c r="CE19" s="448"/>
      <c r="CF19" s="448"/>
      <c r="CG19" s="448"/>
      <c r="CH19" s="448"/>
      <c r="CI19" s="448"/>
      <c r="CJ19" s="448"/>
      <c r="CK19" s="448"/>
      <c r="CL19" s="448"/>
      <c r="CM19" s="448"/>
      <c r="CN19" s="448"/>
      <c r="CO19" s="448"/>
      <c r="CP19" s="448"/>
      <c r="CQ19" s="448"/>
      <c r="CR19" s="448"/>
      <c r="CS19" s="448"/>
      <c r="CT19" s="448"/>
      <c r="CU19" s="448"/>
      <c r="CV19" s="448"/>
      <c r="CW19" s="448"/>
      <c r="CX19" s="448"/>
      <c r="CY19" s="448"/>
      <c r="CZ19" s="448"/>
      <c r="DA19" s="448"/>
      <c r="DB19" s="448"/>
      <c r="DC19" s="448"/>
      <c r="DD19" s="448"/>
      <c r="DE19" s="448"/>
      <c r="DF19" s="448"/>
      <c r="DG19" s="448"/>
      <c r="DH19" s="448"/>
      <c r="DI19" s="448"/>
      <c r="DJ19" s="448"/>
      <c r="DK19" s="448"/>
      <c r="DL19" s="448"/>
      <c r="DM19" s="448"/>
      <c r="DN19" s="448"/>
      <c r="DO19" s="448"/>
      <c r="DP19" s="448"/>
      <c r="DQ19" s="448"/>
      <c r="DR19" s="448"/>
      <c r="DS19" s="448"/>
      <c r="DT19" s="448"/>
      <c r="DU19" s="448"/>
      <c r="DV19" s="448"/>
      <c r="DW19" s="448"/>
      <c r="DX19" s="448"/>
      <c r="DY19" s="448"/>
      <c r="DZ19" s="448"/>
      <c r="EA19" s="448"/>
      <c r="EB19" s="448"/>
      <c r="EC19" s="448"/>
      <c r="ED19" s="448"/>
      <c r="EE19" s="448"/>
      <c r="EF19" s="448"/>
      <c r="EG19" s="448"/>
      <c r="EH19" s="448"/>
      <c r="EI19" s="448"/>
      <c r="EJ19" s="448"/>
      <c r="EK19" s="448"/>
      <c r="EL19" s="448"/>
      <c r="EM19" s="448"/>
      <c r="EN19" s="448"/>
      <c r="EO19" s="448"/>
      <c r="EP19" s="448"/>
      <c r="EQ19" s="448"/>
      <c r="ER19" s="448"/>
      <c r="ES19" s="448"/>
      <c r="ET19" s="448"/>
      <c r="EU19" s="448"/>
      <c r="EV19" s="448"/>
      <c r="EW19" s="448"/>
      <c r="EX19" s="448"/>
      <c r="EY19" s="448"/>
      <c r="EZ19" s="448"/>
      <c r="FA19" s="448"/>
      <c r="FB19" s="448"/>
      <c r="FC19" s="448"/>
      <c r="FD19" s="448"/>
      <c r="FE19" s="448"/>
      <c r="FF19" s="448"/>
      <c r="FG19" s="448"/>
      <c r="FH19" s="448"/>
      <c r="FI19" s="448"/>
      <c r="FJ19" s="448"/>
      <c r="FK19" s="448"/>
      <c r="FL19" s="448"/>
      <c r="FM19" s="448"/>
      <c r="FN19" s="448"/>
      <c r="FO19" s="448"/>
      <c r="FP19" s="448"/>
      <c r="FQ19" s="448"/>
      <c r="FR19" s="448"/>
      <c r="FS19" s="448"/>
      <c r="FT19" s="448"/>
      <c r="FU19" s="448"/>
      <c r="FV19" s="448"/>
      <c r="FW19" s="448"/>
      <c r="FX19" s="448"/>
      <c r="FY19" s="448"/>
      <c r="FZ19" s="448"/>
      <c r="GA19" s="448"/>
      <c r="GB19" s="448"/>
      <c r="GC19" s="448"/>
      <c r="GD19" s="448"/>
      <c r="GE19" s="448"/>
      <c r="GF19" s="448"/>
      <c r="GG19" s="448"/>
      <c r="GH19" s="448"/>
      <c r="GI19" s="448"/>
      <c r="GJ19" s="448"/>
      <c r="GK19" s="448"/>
      <c r="GL19" s="448"/>
      <c r="GM19" s="448"/>
      <c r="GN19" s="448"/>
      <c r="GO19" s="448"/>
      <c r="GP19" s="448"/>
      <c r="GQ19" s="448"/>
      <c r="GR19" s="448"/>
      <c r="GS19" s="448"/>
      <c r="GT19" s="448"/>
      <c r="GU19" s="448"/>
      <c r="GV19" s="448"/>
      <c r="GW19" s="448"/>
      <c r="GX19" s="448"/>
      <c r="GY19" s="448"/>
      <c r="GZ19" s="448"/>
      <c r="HA19" s="448"/>
      <c r="HB19" s="448"/>
      <c r="HC19" s="448"/>
      <c r="HD19" s="448"/>
      <c r="HE19" s="448"/>
      <c r="HF19" s="448"/>
      <c r="HG19" s="448"/>
      <c r="HH19" s="448"/>
      <c r="HI19" s="448"/>
      <c r="HJ19" s="448"/>
      <c r="HK19" s="448"/>
      <c r="HL19" s="448"/>
      <c r="HM19" s="448"/>
      <c r="HN19" s="448"/>
      <c r="HO19" s="448"/>
      <c r="HP19" s="448"/>
      <c r="HQ19" s="448"/>
      <c r="HR19" s="448"/>
      <c r="HS19" s="448"/>
      <c r="HT19" s="448"/>
      <c r="HU19" s="448"/>
      <c r="HV19" s="448"/>
      <c r="HW19" s="448"/>
      <c r="HX19" s="448"/>
      <c r="HY19" s="448"/>
      <c r="HZ19" s="448"/>
      <c r="IA19" s="448"/>
      <c r="IB19" s="448"/>
      <c r="IC19" s="448"/>
      <c r="ID19" s="448"/>
      <c r="IE19" s="448"/>
      <c r="IF19" s="448"/>
      <c r="IG19" s="448"/>
      <c r="IH19" s="448"/>
      <c r="II19" s="448"/>
      <c r="IJ19" s="448"/>
      <c r="IK19" s="448"/>
      <c r="IL19" s="448"/>
      <c r="IM19" s="448"/>
      <c r="IN19" s="448"/>
      <c r="IO19" s="448"/>
      <c r="IP19" s="448"/>
      <c r="IQ19" s="448"/>
      <c r="IR19" s="448"/>
      <c r="IS19" s="448"/>
      <c r="IT19" s="448"/>
      <c r="IU19" s="448"/>
    </row>
    <row r="20" spans="1:255" s="38" customFormat="1" ht="15">
      <c r="A20" s="4"/>
      <c r="B20" s="5"/>
      <c r="C20" s="26"/>
      <c r="D20" s="122" t="s">
        <v>9</v>
      </c>
      <c r="E20" s="113">
        <f>IF(AND(D2="",Kod!$A$7="ja"),'3 Förutsättningar'!F29,"")</f>
        <v>14</v>
      </c>
      <c r="F20" s="74">
        <f>IF(AND($M$17&lt;&gt;"FEL",AND($D$2="",Kod!$A$7="ja")),F15*'3 Förutsättningar'!$F$14/1000*(1-F17)*(1-F16),"")</f>
        <v>14.001795</v>
      </c>
      <c r="G20" s="74">
        <f>IF(AND($M$17&lt;&gt;"FEL",AND($D$2="",Kod!$A$7="ja")),G15*'3 Förutsättningar'!$F$14/1000*(1-G17)*(1-G16),"")</f>
        <v>14.27634</v>
      </c>
      <c r="H20" s="105">
        <f>IF(AND($M$17&lt;&gt;"FEL",AND($D$2="",Kod!$A$7="ja")),H15*'3 Förutsättningar'!$F$14/1000*(1-H17)*(1-H16),"")</f>
        <v>14.27634</v>
      </c>
      <c r="I20" s="40"/>
      <c r="J20" s="40"/>
      <c r="K20" s="40"/>
      <c r="L20" s="40"/>
      <c r="M20" s="40"/>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8"/>
      <c r="AM20" s="448"/>
      <c r="AN20" s="448"/>
      <c r="AO20" s="448"/>
      <c r="AP20" s="448"/>
      <c r="AQ20" s="448"/>
      <c r="AR20" s="448"/>
      <c r="AS20" s="448"/>
      <c r="AT20" s="448"/>
      <c r="AU20" s="448"/>
      <c r="AV20" s="448"/>
      <c r="AW20" s="448"/>
      <c r="AX20" s="448"/>
      <c r="AY20" s="448"/>
      <c r="AZ20" s="448"/>
      <c r="BA20" s="448"/>
      <c r="BB20" s="448"/>
      <c r="BC20" s="448"/>
      <c r="BD20" s="448"/>
      <c r="BE20" s="448"/>
      <c r="BF20" s="448"/>
      <c r="BG20" s="448"/>
      <c r="BH20" s="448"/>
      <c r="BI20" s="448"/>
      <c r="BJ20" s="448"/>
      <c r="BK20" s="448"/>
      <c r="BL20" s="448"/>
      <c r="BM20" s="448"/>
      <c r="BN20" s="448"/>
      <c r="BO20" s="448"/>
      <c r="BP20" s="448"/>
      <c r="BQ20" s="448"/>
      <c r="BR20" s="448"/>
      <c r="BS20" s="448"/>
      <c r="BT20" s="448"/>
      <c r="BU20" s="448"/>
      <c r="BV20" s="448"/>
      <c r="BW20" s="448"/>
      <c r="BX20" s="448"/>
      <c r="BY20" s="448"/>
      <c r="BZ20" s="448"/>
      <c r="CA20" s="448"/>
      <c r="CB20" s="448"/>
      <c r="CC20" s="448"/>
      <c r="CD20" s="448"/>
      <c r="CE20" s="448"/>
      <c r="CF20" s="448"/>
      <c r="CG20" s="448"/>
      <c r="CH20" s="448"/>
      <c r="CI20" s="448"/>
      <c r="CJ20" s="448"/>
      <c r="CK20" s="448"/>
      <c r="CL20" s="448"/>
      <c r="CM20" s="448"/>
      <c r="CN20" s="448"/>
      <c r="CO20" s="448"/>
      <c r="CP20" s="448"/>
      <c r="CQ20" s="448"/>
      <c r="CR20" s="448"/>
      <c r="CS20" s="448"/>
      <c r="CT20" s="448"/>
      <c r="CU20" s="448"/>
      <c r="CV20" s="448"/>
      <c r="CW20" s="448"/>
      <c r="CX20" s="448"/>
      <c r="CY20" s="448"/>
      <c r="CZ20" s="448"/>
      <c r="DA20" s="448"/>
      <c r="DB20" s="448"/>
      <c r="DC20" s="448"/>
      <c r="DD20" s="448"/>
      <c r="DE20" s="448"/>
      <c r="DF20" s="448"/>
      <c r="DG20" s="448"/>
      <c r="DH20" s="448"/>
      <c r="DI20" s="448"/>
      <c r="DJ20" s="448"/>
      <c r="DK20" s="448"/>
      <c r="DL20" s="448"/>
      <c r="DM20" s="448"/>
      <c r="DN20" s="448"/>
      <c r="DO20" s="448"/>
      <c r="DP20" s="448"/>
      <c r="DQ20" s="448"/>
      <c r="DR20" s="448"/>
      <c r="DS20" s="448"/>
      <c r="DT20" s="448"/>
      <c r="DU20" s="448"/>
      <c r="DV20" s="448"/>
      <c r="DW20" s="448"/>
      <c r="DX20" s="448"/>
      <c r="DY20" s="448"/>
      <c r="DZ20" s="448"/>
      <c r="EA20" s="448"/>
      <c r="EB20" s="448"/>
      <c r="EC20" s="448"/>
      <c r="ED20" s="448"/>
      <c r="EE20" s="448"/>
      <c r="EF20" s="448"/>
      <c r="EG20" s="448"/>
      <c r="EH20" s="448"/>
      <c r="EI20" s="448"/>
      <c r="EJ20" s="448"/>
      <c r="EK20" s="448"/>
      <c r="EL20" s="448"/>
      <c r="EM20" s="448"/>
      <c r="EN20" s="448"/>
      <c r="EO20" s="448"/>
      <c r="EP20" s="448"/>
      <c r="EQ20" s="448"/>
      <c r="ER20" s="448"/>
      <c r="ES20" s="448"/>
      <c r="ET20" s="448"/>
      <c r="EU20" s="448"/>
      <c r="EV20" s="448"/>
      <c r="EW20" s="448"/>
      <c r="EX20" s="448"/>
      <c r="EY20" s="448"/>
      <c r="EZ20" s="448"/>
      <c r="FA20" s="448"/>
      <c r="FB20" s="448"/>
      <c r="FC20" s="448"/>
      <c r="FD20" s="448"/>
      <c r="FE20" s="448"/>
      <c r="FF20" s="448"/>
      <c r="FG20" s="448"/>
      <c r="FH20" s="448"/>
      <c r="FI20" s="448"/>
      <c r="FJ20" s="448"/>
      <c r="FK20" s="448"/>
      <c r="FL20" s="448"/>
      <c r="FM20" s="448"/>
      <c r="FN20" s="448"/>
      <c r="FO20" s="448"/>
      <c r="FP20" s="448"/>
      <c r="FQ20" s="448"/>
      <c r="FR20" s="448"/>
      <c r="FS20" s="448"/>
      <c r="FT20" s="448"/>
      <c r="FU20" s="448"/>
      <c r="FV20" s="448"/>
      <c r="FW20" s="448"/>
      <c r="FX20" s="448"/>
      <c r="FY20" s="448"/>
      <c r="FZ20" s="448"/>
      <c r="GA20" s="448"/>
      <c r="GB20" s="448"/>
      <c r="GC20" s="448"/>
      <c r="GD20" s="448"/>
      <c r="GE20" s="448"/>
      <c r="GF20" s="448"/>
      <c r="GG20" s="448"/>
      <c r="GH20" s="448"/>
      <c r="GI20" s="448"/>
      <c r="GJ20" s="448"/>
      <c r="GK20" s="448"/>
      <c r="GL20" s="448"/>
      <c r="GM20" s="448"/>
      <c r="GN20" s="448"/>
      <c r="GO20" s="448"/>
      <c r="GP20" s="448"/>
      <c r="GQ20" s="448"/>
      <c r="GR20" s="448"/>
      <c r="GS20" s="448"/>
      <c r="GT20" s="448"/>
      <c r="GU20" s="448"/>
      <c r="GV20" s="448"/>
      <c r="GW20" s="448"/>
      <c r="GX20" s="448"/>
      <c r="GY20" s="448"/>
      <c r="GZ20" s="448"/>
      <c r="HA20" s="448"/>
      <c r="HB20" s="448"/>
      <c r="HC20" s="448"/>
      <c r="HD20" s="448"/>
      <c r="HE20" s="448"/>
      <c r="HF20" s="448"/>
      <c r="HG20" s="448"/>
      <c r="HH20" s="448"/>
      <c r="HI20" s="448"/>
      <c r="HJ20" s="448"/>
      <c r="HK20" s="448"/>
      <c r="HL20" s="448"/>
      <c r="HM20" s="448"/>
      <c r="HN20" s="448"/>
      <c r="HO20" s="448"/>
      <c r="HP20" s="448"/>
      <c r="HQ20" s="448"/>
      <c r="HR20" s="448"/>
      <c r="HS20" s="448"/>
      <c r="HT20" s="448"/>
      <c r="HU20" s="448"/>
      <c r="HV20" s="448"/>
      <c r="HW20" s="448"/>
      <c r="HX20" s="448"/>
      <c r="HY20" s="448"/>
      <c r="HZ20" s="448"/>
      <c r="IA20" s="448"/>
      <c r="IB20" s="448"/>
      <c r="IC20" s="448"/>
      <c r="ID20" s="448"/>
      <c r="IE20" s="448"/>
      <c r="IF20" s="448"/>
      <c r="IG20" s="448"/>
      <c r="IH20" s="448"/>
      <c r="II20" s="448"/>
      <c r="IJ20" s="448"/>
      <c r="IK20" s="448"/>
      <c r="IL20" s="448"/>
      <c r="IM20" s="448"/>
      <c r="IN20" s="448"/>
      <c r="IO20" s="448"/>
      <c r="IP20" s="448"/>
      <c r="IQ20" s="448"/>
      <c r="IR20" s="448"/>
      <c r="IS20" s="448"/>
      <c r="IT20" s="448"/>
      <c r="IU20" s="448"/>
    </row>
    <row r="21" spans="1:255" s="38" customFormat="1" ht="15.75" thickBot="1">
      <c r="A21" s="4"/>
      <c r="B21" s="5"/>
      <c r="C21" s="26"/>
      <c r="D21" s="126" t="s">
        <v>10</v>
      </c>
      <c r="E21" s="114">
        <f>IF(AND(D2="",Kod!$A$7="ja"),'3 Förutsättningar'!F30,"")</f>
        <v>27</v>
      </c>
      <c r="F21" s="75">
        <f>IF(AND($M$17&lt;&gt;"FEL",AND($D$2="",Kod!$A$7="ja")),F15*'3 Förutsättningar'!$F$14/1000*F17,"")</f>
        <v>26.90541</v>
      </c>
      <c r="G21" s="75">
        <f>IF(AND($M$17&lt;&gt;"FEL",AND($D$2="",Kod!$A$7="ja")),G15*'3 Förutsättningar'!$F$14/1000*G17,"")</f>
        <v>26.35632</v>
      </c>
      <c r="H21" s="106">
        <f>IF(AND($M$17&lt;&gt;"FEL",AND($D$2="",Kod!$A$7="ja")),H15*'3 Förutsättningar'!$F$14/1000*H17,"")</f>
        <v>26.35632</v>
      </c>
      <c r="I21" s="40"/>
      <c r="J21" s="40"/>
      <c r="K21" s="40"/>
      <c r="L21" s="40"/>
      <c r="M21" s="40"/>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48"/>
      <c r="BK21" s="448"/>
      <c r="BL21" s="448"/>
      <c r="BM21" s="448"/>
      <c r="BN21" s="448"/>
      <c r="BO21" s="448"/>
      <c r="BP21" s="448"/>
      <c r="BQ21" s="448"/>
      <c r="BR21" s="448"/>
      <c r="BS21" s="448"/>
      <c r="BT21" s="448"/>
      <c r="BU21" s="448"/>
      <c r="BV21" s="448"/>
      <c r="BW21" s="448"/>
      <c r="BX21" s="448"/>
      <c r="BY21" s="448"/>
      <c r="BZ21" s="448"/>
      <c r="CA21" s="448"/>
      <c r="CB21" s="448"/>
      <c r="CC21" s="448"/>
      <c r="CD21" s="448"/>
      <c r="CE21" s="448"/>
      <c r="CF21" s="448"/>
      <c r="CG21" s="448"/>
      <c r="CH21" s="448"/>
      <c r="CI21" s="448"/>
      <c r="CJ21" s="448"/>
      <c r="CK21" s="448"/>
      <c r="CL21" s="448"/>
      <c r="CM21" s="448"/>
      <c r="CN21" s="448"/>
      <c r="CO21" s="448"/>
      <c r="CP21" s="448"/>
      <c r="CQ21" s="448"/>
      <c r="CR21" s="448"/>
      <c r="CS21" s="448"/>
      <c r="CT21" s="448"/>
      <c r="CU21" s="448"/>
      <c r="CV21" s="448"/>
      <c r="CW21" s="448"/>
      <c r="CX21" s="448"/>
      <c r="CY21" s="448"/>
      <c r="CZ21" s="448"/>
      <c r="DA21" s="448"/>
      <c r="DB21" s="448"/>
      <c r="DC21" s="448"/>
      <c r="DD21" s="448"/>
      <c r="DE21" s="448"/>
      <c r="DF21" s="448"/>
      <c r="DG21" s="448"/>
      <c r="DH21" s="448"/>
      <c r="DI21" s="448"/>
      <c r="DJ21" s="448"/>
      <c r="DK21" s="448"/>
      <c r="DL21" s="448"/>
      <c r="DM21" s="448"/>
      <c r="DN21" s="448"/>
      <c r="DO21" s="448"/>
      <c r="DP21" s="448"/>
      <c r="DQ21" s="448"/>
      <c r="DR21" s="448"/>
      <c r="DS21" s="448"/>
      <c r="DT21" s="448"/>
      <c r="DU21" s="448"/>
      <c r="DV21" s="448"/>
      <c r="DW21" s="448"/>
      <c r="DX21" s="448"/>
      <c r="DY21" s="448"/>
      <c r="DZ21" s="448"/>
      <c r="EA21" s="448"/>
      <c r="EB21" s="448"/>
      <c r="EC21" s="448"/>
      <c r="ED21" s="448"/>
      <c r="EE21" s="448"/>
      <c r="EF21" s="448"/>
      <c r="EG21" s="448"/>
      <c r="EH21" s="448"/>
      <c r="EI21" s="448"/>
      <c r="EJ21" s="448"/>
      <c r="EK21" s="448"/>
      <c r="EL21" s="448"/>
      <c r="EM21" s="448"/>
      <c r="EN21" s="448"/>
      <c r="EO21" s="448"/>
      <c r="EP21" s="448"/>
      <c r="EQ21" s="448"/>
      <c r="ER21" s="448"/>
      <c r="ES21" s="448"/>
      <c r="ET21" s="448"/>
      <c r="EU21" s="448"/>
      <c r="EV21" s="448"/>
      <c r="EW21" s="448"/>
      <c r="EX21" s="448"/>
      <c r="EY21" s="448"/>
      <c r="EZ21" s="448"/>
      <c r="FA21" s="448"/>
      <c r="FB21" s="448"/>
      <c r="FC21" s="448"/>
      <c r="FD21" s="448"/>
      <c r="FE21" s="448"/>
      <c r="FF21" s="448"/>
      <c r="FG21" s="448"/>
      <c r="FH21" s="448"/>
      <c r="FI21" s="448"/>
      <c r="FJ21" s="448"/>
      <c r="FK21" s="448"/>
      <c r="FL21" s="448"/>
      <c r="FM21" s="448"/>
      <c r="FN21" s="448"/>
      <c r="FO21" s="448"/>
      <c r="FP21" s="448"/>
      <c r="FQ21" s="448"/>
      <c r="FR21" s="448"/>
      <c r="FS21" s="448"/>
      <c r="FT21" s="448"/>
      <c r="FU21" s="448"/>
      <c r="FV21" s="448"/>
      <c r="FW21" s="448"/>
      <c r="FX21" s="448"/>
      <c r="FY21" s="448"/>
      <c r="FZ21" s="448"/>
      <c r="GA21" s="448"/>
      <c r="GB21" s="448"/>
      <c r="GC21" s="448"/>
      <c r="GD21" s="448"/>
      <c r="GE21" s="448"/>
      <c r="GF21" s="448"/>
      <c r="GG21" s="448"/>
      <c r="GH21" s="448"/>
      <c r="GI21" s="448"/>
      <c r="GJ21" s="448"/>
      <c r="GK21" s="448"/>
      <c r="GL21" s="448"/>
      <c r="GM21" s="448"/>
      <c r="GN21" s="448"/>
      <c r="GO21" s="448"/>
      <c r="GP21" s="448"/>
      <c r="GQ21" s="448"/>
      <c r="GR21" s="448"/>
      <c r="GS21" s="448"/>
      <c r="GT21" s="448"/>
      <c r="GU21" s="448"/>
      <c r="GV21" s="448"/>
      <c r="GW21" s="448"/>
      <c r="GX21" s="448"/>
      <c r="GY21" s="448"/>
      <c r="GZ21" s="448"/>
      <c r="HA21" s="448"/>
      <c r="HB21" s="448"/>
      <c r="HC21" s="448"/>
      <c r="HD21" s="448"/>
      <c r="HE21" s="448"/>
      <c r="HF21" s="448"/>
      <c r="HG21" s="448"/>
      <c r="HH21" s="448"/>
      <c r="HI21" s="448"/>
      <c r="HJ21" s="448"/>
      <c r="HK21" s="448"/>
      <c r="HL21" s="448"/>
      <c r="HM21" s="448"/>
      <c r="HN21" s="448"/>
      <c r="HO21" s="448"/>
      <c r="HP21" s="448"/>
      <c r="HQ21" s="448"/>
      <c r="HR21" s="448"/>
      <c r="HS21" s="448"/>
      <c r="HT21" s="448"/>
      <c r="HU21" s="448"/>
      <c r="HV21" s="448"/>
      <c r="HW21" s="448"/>
      <c r="HX21" s="448"/>
      <c r="HY21" s="448"/>
      <c r="HZ21" s="448"/>
      <c r="IA21" s="448"/>
      <c r="IB21" s="448"/>
      <c r="IC21" s="448"/>
      <c r="ID21" s="448"/>
      <c r="IE21" s="448"/>
      <c r="IF21" s="448"/>
      <c r="IG21" s="448"/>
      <c r="IH21" s="448"/>
      <c r="II21" s="448"/>
      <c r="IJ21" s="448"/>
      <c r="IK21" s="448"/>
      <c r="IL21" s="448"/>
      <c r="IM21" s="448"/>
      <c r="IN21" s="448"/>
      <c r="IO21" s="448"/>
      <c r="IP21" s="448"/>
      <c r="IQ21" s="448"/>
      <c r="IR21" s="448"/>
      <c r="IS21" s="448"/>
      <c r="IT21" s="448"/>
      <c r="IU21" s="448"/>
    </row>
    <row r="22" spans="1:255" s="38" customFormat="1" ht="15.75" thickBot="1">
      <c r="A22" s="4"/>
      <c r="B22" s="5"/>
      <c r="C22" s="26"/>
      <c r="D22" s="128" t="s">
        <v>13</v>
      </c>
      <c r="E22" s="115">
        <f>IF(AND(D2="",Kod!$A$7="ja"),SUM(E19:E21),"")</f>
        <v>57</v>
      </c>
      <c r="F22" s="64">
        <f>IF(AND($M$17&lt;&gt;"FEL",AND($D$2="",Kod!$A$7="ja")),SUM(F19:F21),"")</f>
        <v>54.909</v>
      </c>
      <c r="G22" s="64">
        <f>IF(AND($M$17&lt;&gt;"FEL",AND($D$2="",Kod!$A$7="ja")),SUM(G19:G21),"")</f>
        <v>54.909</v>
      </c>
      <c r="H22" s="107">
        <f>IF(AND($M$17&lt;&gt;"FEL",AND($D$2="",Kod!$A$7="ja")),SUM(H19:H21),"")</f>
        <v>54.909</v>
      </c>
      <c r="I22" s="40"/>
      <c r="J22" s="40"/>
      <c r="K22" s="40"/>
      <c r="L22" s="40"/>
      <c r="M22" s="40"/>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8"/>
      <c r="AY22" s="448"/>
      <c r="AZ22" s="448"/>
      <c r="BA22" s="448"/>
      <c r="BB22" s="448"/>
      <c r="BC22" s="448"/>
      <c r="BD22" s="448"/>
      <c r="BE22" s="448"/>
      <c r="BF22" s="448"/>
      <c r="BG22" s="448"/>
      <c r="BH22" s="448"/>
      <c r="BI22" s="448"/>
      <c r="BJ22" s="448"/>
      <c r="BK22" s="448"/>
      <c r="BL22" s="448"/>
      <c r="BM22" s="448"/>
      <c r="BN22" s="448"/>
      <c r="BO22" s="448"/>
      <c r="BP22" s="448"/>
      <c r="BQ22" s="448"/>
      <c r="BR22" s="448"/>
      <c r="BS22" s="448"/>
      <c r="BT22" s="448"/>
      <c r="BU22" s="448"/>
      <c r="BV22" s="448"/>
      <c r="BW22" s="448"/>
      <c r="BX22" s="448"/>
      <c r="BY22" s="448"/>
      <c r="BZ22" s="448"/>
      <c r="CA22" s="448"/>
      <c r="CB22" s="448"/>
      <c r="CC22" s="448"/>
      <c r="CD22" s="448"/>
      <c r="CE22" s="448"/>
      <c r="CF22" s="448"/>
      <c r="CG22" s="448"/>
      <c r="CH22" s="448"/>
      <c r="CI22" s="448"/>
      <c r="CJ22" s="448"/>
      <c r="CK22" s="448"/>
      <c r="CL22" s="448"/>
      <c r="CM22" s="448"/>
      <c r="CN22" s="448"/>
      <c r="CO22" s="448"/>
      <c r="CP22" s="448"/>
      <c r="CQ22" s="448"/>
      <c r="CR22" s="448"/>
      <c r="CS22" s="448"/>
      <c r="CT22" s="448"/>
      <c r="CU22" s="448"/>
      <c r="CV22" s="448"/>
      <c r="CW22" s="448"/>
      <c r="CX22" s="448"/>
      <c r="CY22" s="448"/>
      <c r="CZ22" s="448"/>
      <c r="DA22" s="448"/>
      <c r="DB22" s="448"/>
      <c r="DC22" s="448"/>
      <c r="DD22" s="448"/>
      <c r="DE22" s="448"/>
      <c r="DF22" s="448"/>
      <c r="DG22" s="448"/>
      <c r="DH22" s="448"/>
      <c r="DI22" s="448"/>
      <c r="DJ22" s="448"/>
      <c r="DK22" s="448"/>
      <c r="DL22" s="448"/>
      <c r="DM22" s="448"/>
      <c r="DN22" s="448"/>
      <c r="DO22" s="448"/>
      <c r="DP22" s="448"/>
      <c r="DQ22" s="448"/>
      <c r="DR22" s="448"/>
      <c r="DS22" s="448"/>
      <c r="DT22" s="448"/>
      <c r="DU22" s="448"/>
      <c r="DV22" s="448"/>
      <c r="DW22" s="448"/>
      <c r="DX22" s="448"/>
      <c r="DY22" s="448"/>
      <c r="DZ22" s="448"/>
      <c r="EA22" s="448"/>
      <c r="EB22" s="448"/>
      <c r="EC22" s="448"/>
      <c r="ED22" s="448"/>
      <c r="EE22" s="448"/>
      <c r="EF22" s="448"/>
      <c r="EG22" s="448"/>
      <c r="EH22" s="448"/>
      <c r="EI22" s="448"/>
      <c r="EJ22" s="448"/>
      <c r="EK22" s="448"/>
      <c r="EL22" s="448"/>
      <c r="EM22" s="448"/>
      <c r="EN22" s="448"/>
      <c r="EO22" s="448"/>
      <c r="EP22" s="448"/>
      <c r="EQ22" s="448"/>
      <c r="ER22" s="448"/>
      <c r="ES22" s="448"/>
      <c r="ET22" s="448"/>
      <c r="EU22" s="448"/>
      <c r="EV22" s="448"/>
      <c r="EW22" s="448"/>
      <c r="EX22" s="448"/>
      <c r="EY22" s="448"/>
      <c r="EZ22" s="448"/>
      <c r="FA22" s="448"/>
      <c r="FB22" s="448"/>
      <c r="FC22" s="448"/>
      <c r="FD22" s="448"/>
      <c r="FE22" s="448"/>
      <c r="FF22" s="448"/>
      <c r="FG22" s="448"/>
      <c r="FH22" s="448"/>
      <c r="FI22" s="448"/>
      <c r="FJ22" s="448"/>
      <c r="FK22" s="448"/>
      <c r="FL22" s="448"/>
      <c r="FM22" s="448"/>
      <c r="FN22" s="448"/>
      <c r="FO22" s="448"/>
      <c r="FP22" s="448"/>
      <c r="FQ22" s="448"/>
      <c r="FR22" s="448"/>
      <c r="FS22" s="448"/>
      <c r="FT22" s="448"/>
      <c r="FU22" s="448"/>
      <c r="FV22" s="448"/>
      <c r="FW22" s="448"/>
      <c r="FX22" s="448"/>
      <c r="FY22" s="448"/>
      <c r="FZ22" s="448"/>
      <c r="GA22" s="448"/>
      <c r="GB22" s="448"/>
      <c r="GC22" s="448"/>
      <c r="GD22" s="448"/>
      <c r="GE22" s="448"/>
      <c r="GF22" s="448"/>
      <c r="GG22" s="448"/>
      <c r="GH22" s="448"/>
      <c r="GI22" s="448"/>
      <c r="GJ22" s="448"/>
      <c r="GK22" s="448"/>
      <c r="GL22" s="448"/>
      <c r="GM22" s="448"/>
      <c r="GN22" s="448"/>
      <c r="GO22" s="448"/>
      <c r="GP22" s="448"/>
      <c r="GQ22" s="448"/>
      <c r="GR22" s="448"/>
      <c r="GS22" s="448"/>
      <c r="GT22" s="448"/>
      <c r="GU22" s="448"/>
      <c r="GV22" s="448"/>
      <c r="GW22" s="448"/>
      <c r="GX22" s="448"/>
      <c r="GY22" s="448"/>
      <c r="GZ22" s="448"/>
      <c r="HA22" s="448"/>
      <c r="HB22" s="448"/>
      <c r="HC22" s="448"/>
      <c r="HD22" s="448"/>
      <c r="HE22" s="448"/>
      <c r="HF22" s="448"/>
      <c r="HG22" s="448"/>
      <c r="HH22" s="448"/>
      <c r="HI22" s="448"/>
      <c r="HJ22" s="448"/>
      <c r="HK22" s="448"/>
      <c r="HL22" s="448"/>
      <c r="HM22" s="448"/>
      <c r="HN22" s="448"/>
      <c r="HO22" s="448"/>
      <c r="HP22" s="448"/>
      <c r="HQ22" s="448"/>
      <c r="HR22" s="448"/>
      <c r="HS22" s="448"/>
      <c r="HT22" s="448"/>
      <c r="HU22" s="448"/>
      <c r="HV22" s="448"/>
      <c r="HW22" s="448"/>
      <c r="HX22" s="448"/>
      <c r="HY22" s="448"/>
      <c r="HZ22" s="448"/>
      <c r="IA22" s="448"/>
      <c r="IB22" s="448"/>
      <c r="IC22" s="448"/>
      <c r="ID22" s="448"/>
      <c r="IE22" s="448"/>
      <c r="IF22" s="448"/>
      <c r="IG22" s="448"/>
      <c r="IH22" s="448"/>
      <c r="II22" s="448"/>
      <c r="IJ22" s="448"/>
      <c r="IK22" s="448"/>
      <c r="IL22" s="448"/>
      <c r="IM22" s="448"/>
      <c r="IN22" s="448"/>
      <c r="IO22" s="448"/>
      <c r="IP22" s="448"/>
      <c r="IQ22" s="448"/>
      <c r="IR22" s="448"/>
      <c r="IS22" s="448"/>
      <c r="IT22" s="448"/>
      <c r="IU22" s="448"/>
    </row>
    <row r="23" spans="1:255" s="38" customFormat="1" ht="15">
      <c r="A23" s="4"/>
      <c r="B23" s="5"/>
      <c r="C23" s="26"/>
      <c r="I23" s="40"/>
      <c r="J23" s="40"/>
      <c r="K23" s="40"/>
      <c r="L23" s="40"/>
      <c r="M23" s="40"/>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8"/>
      <c r="AM23" s="448"/>
      <c r="AN23" s="448"/>
      <c r="AO23" s="448"/>
      <c r="AP23" s="448"/>
      <c r="AQ23" s="448"/>
      <c r="AR23" s="448"/>
      <c r="AS23" s="448"/>
      <c r="AT23" s="448"/>
      <c r="AU23" s="448"/>
      <c r="AV23" s="448"/>
      <c r="AW23" s="448"/>
      <c r="AX23" s="448"/>
      <c r="AY23" s="448"/>
      <c r="AZ23" s="448"/>
      <c r="BA23" s="448"/>
      <c r="BB23" s="448"/>
      <c r="BC23" s="448"/>
      <c r="BD23" s="448"/>
      <c r="BE23" s="448"/>
      <c r="BF23" s="448"/>
      <c r="BG23" s="448"/>
      <c r="BH23" s="448"/>
      <c r="BI23" s="448"/>
      <c r="BJ23" s="448"/>
      <c r="BK23" s="448"/>
      <c r="BL23" s="448"/>
      <c r="BM23" s="448"/>
      <c r="BN23" s="448"/>
      <c r="BO23" s="448"/>
      <c r="BP23" s="448"/>
      <c r="BQ23" s="448"/>
      <c r="BR23" s="448"/>
      <c r="BS23" s="448"/>
      <c r="BT23" s="448"/>
      <c r="BU23" s="448"/>
      <c r="BV23" s="448"/>
      <c r="BW23" s="448"/>
      <c r="BX23" s="448"/>
      <c r="BY23" s="448"/>
      <c r="BZ23" s="448"/>
      <c r="CA23" s="448"/>
      <c r="CB23" s="448"/>
      <c r="CC23" s="448"/>
      <c r="CD23" s="448"/>
      <c r="CE23" s="448"/>
      <c r="CF23" s="448"/>
      <c r="CG23" s="448"/>
      <c r="CH23" s="448"/>
      <c r="CI23" s="448"/>
      <c r="CJ23" s="448"/>
      <c r="CK23" s="448"/>
      <c r="CL23" s="448"/>
      <c r="CM23" s="448"/>
      <c r="CN23" s="448"/>
      <c r="CO23" s="448"/>
      <c r="CP23" s="448"/>
      <c r="CQ23" s="448"/>
      <c r="CR23" s="448"/>
      <c r="CS23" s="448"/>
      <c r="CT23" s="448"/>
      <c r="CU23" s="448"/>
      <c r="CV23" s="448"/>
      <c r="CW23" s="448"/>
      <c r="CX23" s="448"/>
      <c r="CY23" s="448"/>
      <c r="CZ23" s="448"/>
      <c r="DA23" s="448"/>
      <c r="DB23" s="448"/>
      <c r="DC23" s="448"/>
      <c r="DD23" s="448"/>
      <c r="DE23" s="448"/>
      <c r="DF23" s="448"/>
      <c r="DG23" s="448"/>
      <c r="DH23" s="448"/>
      <c r="DI23" s="448"/>
      <c r="DJ23" s="448"/>
      <c r="DK23" s="448"/>
      <c r="DL23" s="448"/>
      <c r="DM23" s="448"/>
      <c r="DN23" s="448"/>
      <c r="DO23" s="448"/>
      <c r="DP23" s="448"/>
      <c r="DQ23" s="448"/>
      <c r="DR23" s="448"/>
      <c r="DS23" s="448"/>
      <c r="DT23" s="448"/>
      <c r="DU23" s="448"/>
      <c r="DV23" s="448"/>
      <c r="DW23" s="448"/>
      <c r="DX23" s="448"/>
      <c r="DY23" s="448"/>
      <c r="DZ23" s="448"/>
      <c r="EA23" s="448"/>
      <c r="EB23" s="448"/>
      <c r="EC23" s="448"/>
      <c r="ED23" s="448"/>
      <c r="EE23" s="448"/>
      <c r="EF23" s="448"/>
      <c r="EG23" s="448"/>
      <c r="EH23" s="448"/>
      <c r="EI23" s="448"/>
      <c r="EJ23" s="448"/>
      <c r="EK23" s="448"/>
      <c r="EL23" s="448"/>
      <c r="EM23" s="448"/>
      <c r="EN23" s="448"/>
      <c r="EO23" s="448"/>
      <c r="EP23" s="448"/>
      <c r="EQ23" s="448"/>
      <c r="ER23" s="448"/>
      <c r="ES23" s="448"/>
      <c r="ET23" s="448"/>
      <c r="EU23" s="448"/>
      <c r="EV23" s="448"/>
      <c r="EW23" s="448"/>
      <c r="EX23" s="448"/>
      <c r="EY23" s="448"/>
      <c r="EZ23" s="448"/>
      <c r="FA23" s="448"/>
      <c r="FB23" s="448"/>
      <c r="FC23" s="448"/>
      <c r="FD23" s="448"/>
      <c r="FE23" s="448"/>
      <c r="FF23" s="448"/>
      <c r="FG23" s="448"/>
      <c r="FH23" s="448"/>
      <c r="FI23" s="448"/>
      <c r="FJ23" s="448"/>
      <c r="FK23" s="448"/>
      <c r="FL23" s="448"/>
      <c r="FM23" s="448"/>
      <c r="FN23" s="448"/>
      <c r="FO23" s="448"/>
      <c r="FP23" s="448"/>
      <c r="FQ23" s="448"/>
      <c r="FR23" s="448"/>
      <c r="FS23" s="448"/>
      <c r="FT23" s="448"/>
      <c r="FU23" s="448"/>
      <c r="FV23" s="448"/>
      <c r="FW23" s="448"/>
      <c r="FX23" s="448"/>
      <c r="FY23" s="448"/>
      <c r="FZ23" s="448"/>
      <c r="GA23" s="448"/>
      <c r="GB23" s="448"/>
      <c r="GC23" s="448"/>
      <c r="GD23" s="448"/>
      <c r="GE23" s="448"/>
      <c r="GF23" s="448"/>
      <c r="GG23" s="448"/>
      <c r="GH23" s="448"/>
      <c r="GI23" s="448"/>
      <c r="GJ23" s="448"/>
      <c r="GK23" s="448"/>
      <c r="GL23" s="448"/>
      <c r="GM23" s="448"/>
      <c r="GN23" s="448"/>
      <c r="GO23" s="448"/>
      <c r="GP23" s="448"/>
      <c r="GQ23" s="448"/>
      <c r="GR23" s="448"/>
      <c r="GS23" s="448"/>
      <c r="GT23" s="448"/>
      <c r="GU23" s="448"/>
      <c r="GV23" s="448"/>
      <c r="GW23" s="448"/>
      <c r="GX23" s="448"/>
      <c r="GY23" s="448"/>
      <c r="GZ23" s="448"/>
      <c r="HA23" s="448"/>
      <c r="HB23" s="448"/>
      <c r="HC23" s="448"/>
      <c r="HD23" s="448"/>
      <c r="HE23" s="448"/>
      <c r="HF23" s="448"/>
      <c r="HG23" s="448"/>
      <c r="HH23" s="448"/>
      <c r="HI23" s="448"/>
      <c r="HJ23" s="448"/>
      <c r="HK23" s="448"/>
      <c r="HL23" s="448"/>
      <c r="HM23" s="448"/>
      <c r="HN23" s="448"/>
      <c r="HO23" s="448"/>
      <c r="HP23" s="448"/>
      <c r="HQ23" s="448"/>
      <c r="HR23" s="448"/>
      <c r="HS23" s="448"/>
      <c r="HT23" s="448"/>
      <c r="HU23" s="448"/>
      <c r="HV23" s="448"/>
      <c r="HW23" s="448"/>
      <c r="HX23" s="448"/>
      <c r="HY23" s="448"/>
      <c r="HZ23" s="448"/>
      <c r="IA23" s="448"/>
      <c r="IB23" s="448"/>
      <c r="IC23" s="448"/>
      <c r="ID23" s="448"/>
      <c r="IE23" s="448"/>
      <c r="IF23" s="448"/>
      <c r="IG23" s="448"/>
      <c r="IH23" s="448"/>
      <c r="II23" s="448"/>
      <c r="IJ23" s="448"/>
      <c r="IK23" s="448"/>
      <c r="IL23" s="448"/>
      <c r="IM23" s="448"/>
      <c r="IN23" s="448"/>
      <c r="IO23" s="448"/>
      <c r="IP23" s="448"/>
      <c r="IQ23" s="448"/>
      <c r="IR23" s="448"/>
      <c r="IS23" s="448"/>
      <c r="IT23" s="448"/>
      <c r="IU23" s="448"/>
    </row>
    <row r="24" spans="1:255" s="38" customFormat="1" ht="15">
      <c r="A24" s="4"/>
      <c r="B24" s="5"/>
      <c r="C24" s="26"/>
      <c r="I24" s="40"/>
      <c r="J24" s="40"/>
      <c r="K24" s="40"/>
      <c r="L24" s="40"/>
      <c r="M24" s="40"/>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48"/>
      <c r="BC24" s="448"/>
      <c r="BD24" s="448"/>
      <c r="BE24" s="448"/>
      <c r="BF24" s="448"/>
      <c r="BG24" s="448"/>
      <c r="BH24" s="448"/>
      <c r="BI24" s="448"/>
      <c r="BJ24" s="448"/>
      <c r="BK24" s="448"/>
      <c r="BL24" s="448"/>
      <c r="BM24" s="448"/>
      <c r="BN24" s="448"/>
      <c r="BO24" s="448"/>
      <c r="BP24" s="448"/>
      <c r="BQ24" s="448"/>
      <c r="BR24" s="448"/>
      <c r="BS24" s="448"/>
      <c r="BT24" s="448"/>
      <c r="BU24" s="448"/>
      <c r="BV24" s="448"/>
      <c r="BW24" s="448"/>
      <c r="BX24" s="448"/>
      <c r="BY24" s="448"/>
      <c r="BZ24" s="448"/>
      <c r="CA24" s="448"/>
      <c r="CB24" s="448"/>
      <c r="CC24" s="448"/>
      <c r="CD24" s="448"/>
      <c r="CE24" s="448"/>
      <c r="CF24" s="448"/>
      <c r="CG24" s="448"/>
      <c r="CH24" s="448"/>
      <c r="CI24" s="448"/>
      <c r="CJ24" s="448"/>
      <c r="CK24" s="448"/>
      <c r="CL24" s="448"/>
      <c r="CM24" s="448"/>
      <c r="CN24" s="448"/>
      <c r="CO24" s="448"/>
      <c r="CP24" s="448"/>
      <c r="CQ24" s="448"/>
      <c r="CR24" s="448"/>
      <c r="CS24" s="448"/>
      <c r="CT24" s="448"/>
      <c r="CU24" s="448"/>
      <c r="CV24" s="448"/>
      <c r="CW24" s="448"/>
      <c r="CX24" s="448"/>
      <c r="CY24" s="448"/>
      <c r="CZ24" s="448"/>
      <c r="DA24" s="448"/>
      <c r="DB24" s="448"/>
      <c r="DC24" s="448"/>
      <c r="DD24" s="448"/>
      <c r="DE24" s="448"/>
      <c r="DF24" s="448"/>
      <c r="DG24" s="448"/>
      <c r="DH24" s="448"/>
      <c r="DI24" s="448"/>
      <c r="DJ24" s="448"/>
      <c r="DK24" s="448"/>
      <c r="DL24" s="448"/>
      <c r="DM24" s="448"/>
      <c r="DN24" s="448"/>
      <c r="DO24" s="448"/>
      <c r="DP24" s="448"/>
      <c r="DQ24" s="448"/>
      <c r="DR24" s="448"/>
      <c r="DS24" s="448"/>
      <c r="DT24" s="448"/>
      <c r="DU24" s="448"/>
      <c r="DV24" s="448"/>
      <c r="DW24" s="448"/>
      <c r="DX24" s="448"/>
      <c r="DY24" s="448"/>
      <c r="DZ24" s="448"/>
      <c r="EA24" s="448"/>
      <c r="EB24" s="448"/>
      <c r="EC24" s="448"/>
      <c r="ED24" s="448"/>
      <c r="EE24" s="448"/>
      <c r="EF24" s="448"/>
      <c r="EG24" s="448"/>
      <c r="EH24" s="448"/>
      <c r="EI24" s="448"/>
      <c r="EJ24" s="448"/>
      <c r="EK24" s="448"/>
      <c r="EL24" s="448"/>
      <c r="EM24" s="448"/>
      <c r="EN24" s="448"/>
      <c r="EO24" s="448"/>
      <c r="EP24" s="448"/>
      <c r="EQ24" s="448"/>
      <c r="ER24" s="448"/>
      <c r="ES24" s="448"/>
      <c r="ET24" s="448"/>
      <c r="EU24" s="448"/>
      <c r="EV24" s="448"/>
      <c r="EW24" s="448"/>
      <c r="EX24" s="448"/>
      <c r="EY24" s="448"/>
      <c r="EZ24" s="448"/>
      <c r="FA24" s="448"/>
      <c r="FB24" s="448"/>
      <c r="FC24" s="448"/>
      <c r="FD24" s="448"/>
      <c r="FE24" s="448"/>
      <c r="FF24" s="448"/>
      <c r="FG24" s="448"/>
      <c r="FH24" s="448"/>
      <c r="FI24" s="448"/>
      <c r="FJ24" s="448"/>
      <c r="FK24" s="448"/>
      <c r="FL24" s="448"/>
      <c r="FM24" s="448"/>
      <c r="FN24" s="448"/>
      <c r="FO24" s="448"/>
      <c r="FP24" s="448"/>
      <c r="FQ24" s="448"/>
      <c r="FR24" s="448"/>
      <c r="FS24" s="448"/>
      <c r="FT24" s="448"/>
      <c r="FU24" s="448"/>
      <c r="FV24" s="448"/>
      <c r="FW24" s="448"/>
      <c r="FX24" s="448"/>
      <c r="FY24" s="448"/>
      <c r="FZ24" s="448"/>
      <c r="GA24" s="448"/>
      <c r="GB24" s="448"/>
      <c r="GC24" s="448"/>
      <c r="GD24" s="448"/>
      <c r="GE24" s="448"/>
      <c r="GF24" s="448"/>
      <c r="GG24" s="448"/>
      <c r="GH24" s="448"/>
      <c r="GI24" s="448"/>
      <c r="GJ24" s="448"/>
      <c r="GK24" s="448"/>
      <c r="GL24" s="448"/>
      <c r="GM24" s="448"/>
      <c r="GN24" s="448"/>
      <c r="GO24" s="448"/>
      <c r="GP24" s="448"/>
      <c r="GQ24" s="448"/>
      <c r="GR24" s="448"/>
      <c r="GS24" s="448"/>
      <c r="GT24" s="448"/>
      <c r="GU24" s="448"/>
      <c r="GV24" s="448"/>
      <c r="GW24" s="448"/>
      <c r="GX24" s="448"/>
      <c r="GY24" s="448"/>
      <c r="GZ24" s="448"/>
      <c r="HA24" s="448"/>
      <c r="HB24" s="448"/>
      <c r="HC24" s="448"/>
      <c r="HD24" s="448"/>
      <c r="HE24" s="448"/>
      <c r="HF24" s="448"/>
      <c r="HG24" s="448"/>
      <c r="HH24" s="448"/>
      <c r="HI24" s="448"/>
      <c r="HJ24" s="448"/>
      <c r="HK24" s="448"/>
      <c r="HL24" s="448"/>
      <c r="HM24" s="448"/>
      <c r="HN24" s="448"/>
      <c r="HO24" s="448"/>
      <c r="HP24" s="448"/>
      <c r="HQ24" s="448"/>
      <c r="HR24" s="448"/>
      <c r="HS24" s="448"/>
      <c r="HT24" s="448"/>
      <c r="HU24" s="448"/>
      <c r="HV24" s="448"/>
      <c r="HW24" s="448"/>
      <c r="HX24" s="448"/>
      <c r="HY24" s="448"/>
      <c r="HZ24" s="448"/>
      <c r="IA24" s="448"/>
      <c r="IB24" s="448"/>
      <c r="IC24" s="448"/>
      <c r="ID24" s="448"/>
      <c r="IE24" s="448"/>
      <c r="IF24" s="448"/>
      <c r="IG24" s="448"/>
      <c r="IH24" s="448"/>
      <c r="II24" s="448"/>
      <c r="IJ24" s="448"/>
      <c r="IK24" s="448"/>
      <c r="IL24" s="448"/>
      <c r="IM24" s="448"/>
      <c r="IN24" s="448"/>
      <c r="IO24" s="448"/>
      <c r="IP24" s="448"/>
      <c r="IQ24" s="448"/>
      <c r="IR24" s="448"/>
      <c r="IS24" s="448"/>
      <c r="IT24" s="448"/>
      <c r="IU24" s="448"/>
    </row>
    <row r="25" spans="1:255" s="38" customFormat="1" ht="15.75">
      <c r="A25" s="4"/>
      <c r="B25" s="5"/>
      <c r="C25" s="26"/>
      <c r="D25" s="66" t="s">
        <v>260</v>
      </c>
      <c r="E25" s="45"/>
      <c r="F25" s="45"/>
      <c r="G25" s="46"/>
      <c r="H25" s="45"/>
      <c r="I25" s="81"/>
      <c r="J25" s="81"/>
      <c r="K25" s="81"/>
      <c r="L25" s="81"/>
      <c r="M25" s="81"/>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448"/>
      <c r="AQ25" s="448"/>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8"/>
      <c r="BN25" s="448"/>
      <c r="BO25" s="448"/>
      <c r="BP25" s="448"/>
      <c r="BQ25" s="448"/>
      <c r="BR25" s="448"/>
      <c r="BS25" s="448"/>
      <c r="BT25" s="448"/>
      <c r="BU25" s="448"/>
      <c r="BV25" s="448"/>
      <c r="BW25" s="448"/>
      <c r="BX25" s="448"/>
      <c r="BY25" s="448"/>
      <c r="BZ25" s="448"/>
      <c r="CA25" s="448"/>
      <c r="CB25" s="448"/>
      <c r="CC25" s="448"/>
      <c r="CD25" s="448"/>
      <c r="CE25" s="448"/>
      <c r="CF25" s="448"/>
      <c r="CG25" s="448"/>
      <c r="CH25" s="448"/>
      <c r="CI25" s="448"/>
      <c r="CJ25" s="448"/>
      <c r="CK25" s="448"/>
      <c r="CL25" s="448"/>
      <c r="CM25" s="448"/>
      <c r="CN25" s="448"/>
      <c r="CO25" s="448"/>
      <c r="CP25" s="448"/>
      <c r="CQ25" s="448"/>
      <c r="CR25" s="448"/>
      <c r="CS25" s="448"/>
      <c r="CT25" s="448"/>
      <c r="CU25" s="448"/>
      <c r="CV25" s="448"/>
      <c r="CW25" s="448"/>
      <c r="CX25" s="448"/>
      <c r="CY25" s="448"/>
      <c r="CZ25" s="448"/>
      <c r="DA25" s="448"/>
      <c r="DB25" s="448"/>
      <c r="DC25" s="448"/>
      <c r="DD25" s="448"/>
      <c r="DE25" s="448"/>
      <c r="DF25" s="448"/>
      <c r="DG25" s="448"/>
      <c r="DH25" s="448"/>
      <c r="DI25" s="448"/>
      <c r="DJ25" s="448"/>
      <c r="DK25" s="448"/>
      <c r="DL25" s="448"/>
      <c r="DM25" s="448"/>
      <c r="DN25" s="448"/>
      <c r="DO25" s="448"/>
      <c r="DP25" s="448"/>
      <c r="DQ25" s="448"/>
      <c r="DR25" s="448"/>
      <c r="DS25" s="448"/>
      <c r="DT25" s="448"/>
      <c r="DU25" s="448"/>
      <c r="DV25" s="448"/>
      <c r="DW25" s="448"/>
      <c r="DX25" s="448"/>
      <c r="DY25" s="448"/>
      <c r="DZ25" s="448"/>
      <c r="EA25" s="448"/>
      <c r="EB25" s="448"/>
      <c r="EC25" s="448"/>
      <c r="ED25" s="448"/>
      <c r="EE25" s="448"/>
      <c r="EF25" s="448"/>
      <c r="EG25" s="448"/>
      <c r="EH25" s="448"/>
      <c r="EI25" s="448"/>
      <c r="EJ25" s="448"/>
      <c r="EK25" s="448"/>
      <c r="EL25" s="448"/>
      <c r="EM25" s="448"/>
      <c r="EN25" s="448"/>
      <c r="EO25" s="448"/>
      <c r="EP25" s="448"/>
      <c r="EQ25" s="448"/>
      <c r="ER25" s="448"/>
      <c r="ES25" s="448"/>
      <c r="ET25" s="448"/>
      <c r="EU25" s="448"/>
      <c r="EV25" s="448"/>
      <c r="EW25" s="448"/>
      <c r="EX25" s="448"/>
      <c r="EY25" s="448"/>
      <c r="EZ25" s="448"/>
      <c r="FA25" s="448"/>
      <c r="FB25" s="448"/>
      <c r="FC25" s="448"/>
      <c r="FD25" s="448"/>
      <c r="FE25" s="448"/>
      <c r="FF25" s="448"/>
      <c r="FG25" s="448"/>
      <c r="FH25" s="448"/>
      <c r="FI25" s="448"/>
      <c r="FJ25" s="448"/>
      <c r="FK25" s="448"/>
      <c r="FL25" s="448"/>
      <c r="FM25" s="448"/>
      <c r="FN25" s="448"/>
      <c r="FO25" s="448"/>
      <c r="FP25" s="448"/>
      <c r="FQ25" s="448"/>
      <c r="FR25" s="448"/>
      <c r="FS25" s="448"/>
      <c r="FT25" s="448"/>
      <c r="FU25" s="448"/>
      <c r="FV25" s="448"/>
      <c r="FW25" s="448"/>
      <c r="FX25" s="448"/>
      <c r="FY25" s="448"/>
      <c r="FZ25" s="448"/>
      <c r="GA25" s="448"/>
      <c r="GB25" s="448"/>
      <c r="GC25" s="448"/>
      <c r="GD25" s="448"/>
      <c r="GE25" s="448"/>
      <c r="GF25" s="448"/>
      <c r="GG25" s="448"/>
      <c r="GH25" s="448"/>
      <c r="GI25" s="448"/>
      <c r="GJ25" s="448"/>
      <c r="GK25" s="448"/>
      <c r="GL25" s="448"/>
      <c r="GM25" s="448"/>
      <c r="GN25" s="448"/>
      <c r="GO25" s="448"/>
      <c r="GP25" s="448"/>
      <c r="GQ25" s="448"/>
      <c r="GR25" s="448"/>
      <c r="GS25" s="448"/>
      <c r="GT25" s="448"/>
      <c r="GU25" s="448"/>
      <c r="GV25" s="448"/>
      <c r="GW25" s="448"/>
      <c r="GX25" s="448"/>
      <c r="GY25" s="448"/>
      <c r="GZ25" s="448"/>
      <c r="HA25" s="448"/>
      <c r="HB25" s="448"/>
      <c r="HC25" s="448"/>
      <c r="HD25" s="448"/>
      <c r="HE25" s="448"/>
      <c r="HF25" s="448"/>
      <c r="HG25" s="448"/>
      <c r="HH25" s="448"/>
      <c r="HI25" s="448"/>
      <c r="HJ25" s="448"/>
      <c r="HK25" s="448"/>
      <c r="HL25" s="448"/>
      <c r="HM25" s="448"/>
      <c r="HN25" s="448"/>
      <c r="HO25" s="448"/>
      <c r="HP25" s="448"/>
      <c r="HQ25" s="448"/>
      <c r="HR25" s="448"/>
      <c r="HS25" s="448"/>
      <c r="HT25" s="448"/>
      <c r="HU25" s="448"/>
      <c r="HV25" s="448"/>
      <c r="HW25" s="448"/>
      <c r="HX25" s="448"/>
      <c r="HY25" s="448"/>
      <c r="HZ25" s="448"/>
      <c r="IA25" s="448"/>
      <c r="IB25" s="448"/>
      <c r="IC25" s="448"/>
      <c r="ID25" s="448"/>
      <c r="IE25" s="448"/>
      <c r="IF25" s="448"/>
      <c r="IG25" s="448"/>
      <c r="IH25" s="448"/>
      <c r="II25" s="448"/>
      <c r="IJ25" s="448"/>
      <c r="IK25" s="448"/>
      <c r="IL25" s="448"/>
      <c r="IM25" s="448"/>
      <c r="IN25" s="448"/>
      <c r="IO25" s="448"/>
      <c r="IP25" s="448"/>
      <c r="IQ25" s="448"/>
      <c r="IR25" s="448"/>
      <c r="IS25" s="448"/>
      <c r="IT25" s="448"/>
      <c r="IU25" s="448"/>
    </row>
    <row r="26" spans="1:255" s="38" customFormat="1" ht="15">
      <c r="A26" s="4"/>
      <c r="B26" s="5"/>
      <c r="C26" s="26"/>
      <c r="D26" s="40"/>
      <c r="E26" s="44">
        <f>E13</f>
        <v>2022</v>
      </c>
      <c r="F26" s="44">
        <f>F13</f>
        <v>2023</v>
      </c>
      <c r="G26" s="44">
        <f>G13</f>
        <v>2024</v>
      </c>
      <c r="H26" s="44">
        <f>H13</f>
        <v>2025</v>
      </c>
      <c r="I26" s="40"/>
      <c r="J26" s="40"/>
      <c r="K26" s="40"/>
      <c r="L26" s="40"/>
      <c r="M26" s="40"/>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8"/>
      <c r="AM26" s="448"/>
      <c r="AN26" s="448"/>
      <c r="AO26" s="448"/>
      <c r="AP26" s="448"/>
      <c r="AQ26" s="448"/>
      <c r="AR26" s="448"/>
      <c r="AS26" s="448"/>
      <c r="AT26" s="448"/>
      <c r="AU26" s="448"/>
      <c r="AV26" s="448"/>
      <c r="AW26" s="448"/>
      <c r="AX26" s="448"/>
      <c r="AY26" s="448"/>
      <c r="AZ26" s="448"/>
      <c r="BA26" s="448"/>
      <c r="BB26" s="448"/>
      <c r="BC26" s="448"/>
      <c r="BD26" s="448"/>
      <c r="BE26" s="448"/>
      <c r="BF26" s="448"/>
      <c r="BG26" s="448"/>
      <c r="BH26" s="448"/>
      <c r="BI26" s="448"/>
      <c r="BJ26" s="448"/>
      <c r="BK26" s="448"/>
      <c r="BL26" s="448"/>
      <c r="BM26" s="448"/>
      <c r="BN26" s="448"/>
      <c r="BO26" s="448"/>
      <c r="BP26" s="448"/>
      <c r="BQ26" s="448"/>
      <c r="BR26" s="448"/>
      <c r="BS26" s="448"/>
      <c r="BT26" s="448"/>
      <c r="BU26" s="448"/>
      <c r="BV26" s="448"/>
      <c r="BW26" s="448"/>
      <c r="BX26" s="448"/>
      <c r="BY26" s="448"/>
      <c r="BZ26" s="448"/>
      <c r="CA26" s="448"/>
      <c r="CB26" s="448"/>
      <c r="CC26" s="448"/>
      <c r="CD26" s="448"/>
      <c r="CE26" s="448"/>
      <c r="CF26" s="448"/>
      <c r="CG26" s="448"/>
      <c r="CH26" s="448"/>
      <c r="CI26" s="448"/>
      <c r="CJ26" s="448"/>
      <c r="CK26" s="448"/>
      <c r="CL26" s="448"/>
      <c r="CM26" s="448"/>
      <c r="CN26" s="448"/>
      <c r="CO26" s="448"/>
      <c r="CP26" s="448"/>
      <c r="CQ26" s="448"/>
      <c r="CR26" s="448"/>
      <c r="CS26" s="448"/>
      <c r="CT26" s="448"/>
      <c r="CU26" s="448"/>
      <c r="CV26" s="448"/>
      <c r="CW26" s="448"/>
      <c r="CX26" s="448"/>
      <c r="CY26" s="448"/>
      <c r="CZ26" s="448"/>
      <c r="DA26" s="448"/>
      <c r="DB26" s="448"/>
      <c r="DC26" s="448"/>
      <c r="DD26" s="448"/>
      <c r="DE26" s="448"/>
      <c r="DF26" s="448"/>
      <c r="DG26" s="448"/>
      <c r="DH26" s="448"/>
      <c r="DI26" s="448"/>
      <c r="DJ26" s="448"/>
      <c r="DK26" s="448"/>
      <c r="DL26" s="448"/>
      <c r="DM26" s="448"/>
      <c r="DN26" s="448"/>
      <c r="DO26" s="448"/>
      <c r="DP26" s="448"/>
      <c r="DQ26" s="448"/>
      <c r="DR26" s="448"/>
      <c r="DS26" s="448"/>
      <c r="DT26" s="448"/>
      <c r="DU26" s="448"/>
      <c r="DV26" s="448"/>
      <c r="DW26" s="448"/>
      <c r="DX26" s="448"/>
      <c r="DY26" s="448"/>
      <c r="DZ26" s="448"/>
      <c r="EA26" s="448"/>
      <c r="EB26" s="448"/>
      <c r="EC26" s="448"/>
      <c r="ED26" s="448"/>
      <c r="EE26" s="448"/>
      <c r="EF26" s="448"/>
      <c r="EG26" s="448"/>
      <c r="EH26" s="448"/>
      <c r="EI26" s="448"/>
      <c r="EJ26" s="448"/>
      <c r="EK26" s="448"/>
      <c r="EL26" s="448"/>
      <c r="EM26" s="448"/>
      <c r="EN26" s="448"/>
      <c r="EO26" s="448"/>
      <c r="EP26" s="448"/>
      <c r="EQ26" s="448"/>
      <c r="ER26" s="448"/>
      <c r="ES26" s="448"/>
      <c r="ET26" s="448"/>
      <c r="EU26" s="448"/>
      <c r="EV26" s="448"/>
      <c r="EW26" s="448"/>
      <c r="EX26" s="448"/>
      <c r="EY26" s="448"/>
      <c r="EZ26" s="448"/>
      <c r="FA26" s="448"/>
      <c r="FB26" s="448"/>
      <c r="FC26" s="448"/>
      <c r="FD26" s="448"/>
      <c r="FE26" s="448"/>
      <c r="FF26" s="448"/>
      <c r="FG26" s="448"/>
      <c r="FH26" s="448"/>
      <c r="FI26" s="448"/>
      <c r="FJ26" s="448"/>
      <c r="FK26" s="448"/>
      <c r="FL26" s="448"/>
      <c r="FM26" s="448"/>
      <c r="FN26" s="448"/>
      <c r="FO26" s="448"/>
      <c r="FP26" s="448"/>
      <c r="FQ26" s="448"/>
      <c r="FR26" s="448"/>
      <c r="FS26" s="448"/>
      <c r="FT26" s="448"/>
      <c r="FU26" s="448"/>
      <c r="FV26" s="448"/>
      <c r="FW26" s="448"/>
      <c r="FX26" s="448"/>
      <c r="FY26" s="448"/>
      <c r="FZ26" s="448"/>
      <c r="GA26" s="448"/>
      <c r="GB26" s="448"/>
      <c r="GC26" s="448"/>
      <c r="GD26" s="448"/>
      <c r="GE26" s="448"/>
      <c r="GF26" s="448"/>
      <c r="GG26" s="448"/>
      <c r="GH26" s="448"/>
      <c r="GI26" s="448"/>
      <c r="GJ26" s="448"/>
      <c r="GK26" s="448"/>
      <c r="GL26" s="448"/>
      <c r="GM26" s="448"/>
      <c r="GN26" s="448"/>
      <c r="GO26" s="448"/>
      <c r="GP26" s="448"/>
      <c r="GQ26" s="448"/>
      <c r="GR26" s="448"/>
      <c r="GS26" s="448"/>
      <c r="GT26" s="448"/>
      <c r="GU26" s="448"/>
      <c r="GV26" s="448"/>
      <c r="GW26" s="448"/>
      <c r="GX26" s="448"/>
      <c r="GY26" s="448"/>
      <c r="GZ26" s="448"/>
      <c r="HA26" s="448"/>
      <c r="HB26" s="448"/>
      <c r="HC26" s="448"/>
      <c r="HD26" s="448"/>
      <c r="HE26" s="448"/>
      <c r="HF26" s="448"/>
      <c r="HG26" s="448"/>
      <c r="HH26" s="448"/>
      <c r="HI26" s="448"/>
      <c r="HJ26" s="448"/>
      <c r="HK26" s="448"/>
      <c r="HL26" s="448"/>
      <c r="HM26" s="448"/>
      <c r="HN26" s="448"/>
      <c r="HO26" s="448"/>
      <c r="HP26" s="448"/>
      <c r="HQ26" s="448"/>
      <c r="HR26" s="448"/>
      <c r="HS26" s="448"/>
      <c r="HT26" s="448"/>
      <c r="HU26" s="448"/>
      <c r="HV26" s="448"/>
      <c r="HW26" s="448"/>
      <c r="HX26" s="448"/>
      <c r="HY26" s="448"/>
      <c r="HZ26" s="448"/>
      <c r="IA26" s="448"/>
      <c r="IB26" s="448"/>
      <c r="IC26" s="448"/>
      <c r="ID26" s="448"/>
      <c r="IE26" s="448"/>
      <c r="IF26" s="448"/>
      <c r="IG26" s="448"/>
      <c r="IH26" s="448"/>
      <c r="II26" s="448"/>
      <c r="IJ26" s="448"/>
      <c r="IK26" s="448"/>
      <c r="IL26" s="448"/>
      <c r="IM26" s="448"/>
      <c r="IN26" s="448"/>
      <c r="IO26" s="448"/>
      <c r="IP26" s="448"/>
      <c r="IQ26" s="448"/>
      <c r="IR26" s="448"/>
      <c r="IS26" s="448"/>
      <c r="IT26" s="448"/>
      <c r="IU26" s="448"/>
    </row>
    <row r="27" spans="1:255" s="38" customFormat="1" ht="15.75" thickBot="1">
      <c r="A27" s="4"/>
      <c r="B27" s="5"/>
      <c r="C27" s="26"/>
      <c r="D27" s="33"/>
      <c r="E27" s="49" t="str">
        <f>IF(E26&lt;&gt;"",CONCATENATE("/",E26+1),"")</f>
        <v>/2023</v>
      </c>
      <c r="F27" s="49" t="str">
        <f>IF(F26&lt;&gt;"",CONCATENATE("/",F26+1),"")</f>
        <v>/2024</v>
      </c>
      <c r="G27" s="49" t="str">
        <f>IF(G26&lt;&gt;"",CONCATENATE("/",G26+1),"")</f>
        <v>/2025</v>
      </c>
      <c r="H27" s="49" t="str">
        <f>IF(H26&lt;&gt;"",CONCATENATE("/",H26+1),"")</f>
        <v>/2026</v>
      </c>
      <c r="I27" s="40"/>
      <c r="J27" s="40"/>
      <c r="K27" s="40"/>
      <c r="L27" s="40"/>
      <c r="M27" s="40"/>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c r="BZ27" s="448"/>
      <c r="CA27" s="448"/>
      <c r="CB27" s="448"/>
      <c r="CC27" s="448"/>
      <c r="CD27" s="448"/>
      <c r="CE27" s="448"/>
      <c r="CF27" s="448"/>
      <c r="CG27" s="448"/>
      <c r="CH27" s="448"/>
      <c r="CI27" s="448"/>
      <c r="CJ27" s="448"/>
      <c r="CK27" s="448"/>
      <c r="CL27" s="448"/>
      <c r="CM27" s="448"/>
      <c r="CN27" s="448"/>
      <c r="CO27" s="448"/>
      <c r="CP27" s="448"/>
      <c r="CQ27" s="448"/>
      <c r="CR27" s="448"/>
      <c r="CS27" s="448"/>
      <c r="CT27" s="448"/>
      <c r="CU27" s="448"/>
      <c r="CV27" s="448"/>
      <c r="CW27" s="448"/>
      <c r="CX27" s="448"/>
      <c r="CY27" s="448"/>
      <c r="CZ27" s="448"/>
      <c r="DA27" s="448"/>
      <c r="DB27" s="448"/>
      <c r="DC27" s="448"/>
      <c r="DD27" s="448"/>
      <c r="DE27" s="448"/>
      <c r="DF27" s="448"/>
      <c r="DG27" s="448"/>
      <c r="DH27" s="448"/>
      <c r="DI27" s="448"/>
      <c r="DJ27" s="448"/>
      <c r="DK27" s="448"/>
      <c r="DL27" s="448"/>
      <c r="DM27" s="448"/>
      <c r="DN27" s="448"/>
      <c r="DO27" s="448"/>
      <c r="DP27" s="448"/>
      <c r="DQ27" s="448"/>
      <c r="DR27" s="448"/>
      <c r="DS27" s="448"/>
      <c r="DT27" s="448"/>
      <c r="DU27" s="448"/>
      <c r="DV27" s="448"/>
      <c r="DW27" s="448"/>
      <c r="DX27" s="448"/>
      <c r="DY27" s="448"/>
      <c r="DZ27" s="448"/>
      <c r="EA27" s="448"/>
      <c r="EB27" s="448"/>
      <c r="EC27" s="448"/>
      <c r="ED27" s="448"/>
      <c r="EE27" s="448"/>
      <c r="EF27" s="448"/>
      <c r="EG27" s="448"/>
      <c r="EH27" s="448"/>
      <c r="EI27" s="448"/>
      <c r="EJ27" s="448"/>
      <c r="EK27" s="448"/>
      <c r="EL27" s="448"/>
      <c r="EM27" s="448"/>
      <c r="EN27" s="448"/>
      <c r="EO27" s="448"/>
      <c r="EP27" s="448"/>
      <c r="EQ27" s="448"/>
      <c r="ER27" s="448"/>
      <c r="ES27" s="448"/>
      <c r="ET27" s="448"/>
      <c r="EU27" s="448"/>
      <c r="EV27" s="448"/>
      <c r="EW27" s="448"/>
      <c r="EX27" s="448"/>
      <c r="EY27" s="448"/>
      <c r="EZ27" s="448"/>
      <c r="FA27" s="448"/>
      <c r="FB27" s="448"/>
      <c r="FC27" s="448"/>
      <c r="FD27" s="448"/>
      <c r="FE27" s="448"/>
      <c r="FF27" s="448"/>
      <c r="FG27" s="448"/>
      <c r="FH27" s="448"/>
      <c r="FI27" s="448"/>
      <c r="FJ27" s="448"/>
      <c r="FK27" s="448"/>
      <c r="FL27" s="448"/>
      <c r="FM27" s="448"/>
      <c r="FN27" s="448"/>
      <c r="FO27" s="448"/>
      <c r="FP27" s="448"/>
      <c r="FQ27" s="448"/>
      <c r="FR27" s="448"/>
      <c r="FS27" s="448"/>
      <c r="FT27" s="448"/>
      <c r="FU27" s="448"/>
      <c r="FV27" s="448"/>
      <c r="FW27" s="448"/>
      <c r="FX27" s="448"/>
      <c r="FY27" s="448"/>
      <c r="FZ27" s="448"/>
      <c r="GA27" s="448"/>
      <c r="GB27" s="448"/>
      <c r="GC27" s="448"/>
      <c r="GD27" s="448"/>
      <c r="GE27" s="448"/>
      <c r="GF27" s="448"/>
      <c r="GG27" s="448"/>
      <c r="GH27" s="448"/>
      <c r="GI27" s="448"/>
      <c r="GJ27" s="448"/>
      <c r="GK27" s="448"/>
      <c r="GL27" s="448"/>
      <c r="GM27" s="448"/>
      <c r="GN27" s="448"/>
      <c r="GO27" s="448"/>
      <c r="GP27" s="448"/>
      <c r="GQ27" s="448"/>
      <c r="GR27" s="448"/>
      <c r="GS27" s="448"/>
      <c r="GT27" s="448"/>
      <c r="GU27" s="448"/>
      <c r="GV27" s="448"/>
      <c r="GW27" s="448"/>
      <c r="GX27" s="448"/>
      <c r="GY27" s="448"/>
      <c r="GZ27" s="448"/>
      <c r="HA27" s="448"/>
      <c r="HB27" s="448"/>
      <c r="HC27" s="448"/>
      <c r="HD27" s="448"/>
      <c r="HE27" s="448"/>
      <c r="HF27" s="448"/>
      <c r="HG27" s="448"/>
      <c r="HH27" s="448"/>
      <c r="HI27" s="448"/>
      <c r="HJ27" s="448"/>
      <c r="HK27" s="448"/>
      <c r="HL27" s="448"/>
      <c r="HM27" s="448"/>
      <c r="HN27" s="448"/>
      <c r="HO27" s="448"/>
      <c r="HP27" s="448"/>
      <c r="HQ27" s="448"/>
      <c r="HR27" s="448"/>
      <c r="HS27" s="448"/>
      <c r="HT27" s="448"/>
      <c r="HU27" s="448"/>
      <c r="HV27" s="448"/>
      <c r="HW27" s="448"/>
      <c r="HX27" s="448"/>
      <c r="HY27" s="448"/>
      <c r="HZ27" s="448"/>
      <c r="IA27" s="448"/>
      <c r="IB27" s="448"/>
      <c r="IC27" s="448"/>
      <c r="ID27" s="448"/>
      <c r="IE27" s="448"/>
      <c r="IF27" s="448"/>
      <c r="IG27" s="448"/>
      <c r="IH27" s="448"/>
      <c r="II27" s="448"/>
      <c r="IJ27" s="448"/>
      <c r="IK27" s="448"/>
      <c r="IL27" s="448"/>
      <c r="IM27" s="448"/>
      <c r="IN27" s="448"/>
      <c r="IO27" s="448"/>
      <c r="IP27" s="448"/>
      <c r="IQ27" s="448"/>
      <c r="IR27" s="448"/>
      <c r="IS27" s="448"/>
      <c r="IT27" s="448"/>
      <c r="IU27" s="448"/>
    </row>
    <row r="28" spans="1:255" s="38" customFormat="1" ht="15">
      <c r="A28" s="4"/>
      <c r="B28" s="5"/>
      <c r="C28" s="26"/>
      <c r="D28" s="125" t="s">
        <v>92</v>
      </c>
      <c r="E28" s="116">
        <f>IF(AND($D$2="",Kod!$A$7="ja",E34&lt;&gt;""),E34/'3 Förutsättningar'!$F$14*1000,"")</f>
        <v>7</v>
      </c>
      <c r="F28" s="50">
        <f>IF(AND($M$17&lt;&gt;"FEL",AND($D$2="",Kod!$A$7="ja"),$M$33&lt;&gt;"FEL"),F34/'3 Förutsättningar'!$F$14*1000,"")</f>
        <v>6.770329626497471</v>
      </c>
      <c r="G28" s="50">
        <f>IF(AND($M$17&lt;&gt;"FEL",AND($D$2="",Kod!$A$7="ja"),$M$33&lt;&gt;"FEL"),G34/'3 Förutsättningar'!$F$14*1000,"")</f>
        <v>6.4120862039044315</v>
      </c>
      <c r="H28" s="138">
        <f>IF(AND($M$17&lt;&gt;"FEL",AND($D$2="",Kod!$A$7="ja"),$M$33&lt;&gt;"FEL"),H34/'3 Förutsättningar'!$F$14*1000,"")</f>
        <v>5.90055977802279</v>
      </c>
      <c r="I28" s="40"/>
      <c r="J28" s="40"/>
      <c r="K28" s="40"/>
      <c r="L28" s="40"/>
      <c r="M28" s="40"/>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c r="BM28" s="448"/>
      <c r="BN28" s="448"/>
      <c r="BO28" s="448"/>
      <c r="BP28" s="448"/>
      <c r="BQ28" s="448"/>
      <c r="BR28" s="448"/>
      <c r="BS28" s="448"/>
      <c r="BT28" s="448"/>
      <c r="BU28" s="448"/>
      <c r="BV28" s="448"/>
      <c r="BW28" s="448"/>
      <c r="BX28" s="448"/>
      <c r="BY28" s="448"/>
      <c r="BZ28" s="448"/>
      <c r="CA28" s="448"/>
      <c r="CB28" s="448"/>
      <c r="CC28" s="448"/>
      <c r="CD28" s="448"/>
      <c r="CE28" s="448"/>
      <c r="CF28" s="448"/>
      <c r="CG28" s="448"/>
      <c r="CH28" s="448"/>
      <c r="CI28" s="448"/>
      <c r="CJ28" s="448"/>
      <c r="CK28" s="448"/>
      <c r="CL28" s="448"/>
      <c r="CM28" s="448"/>
      <c r="CN28" s="448"/>
      <c r="CO28" s="448"/>
      <c r="CP28" s="448"/>
      <c r="CQ28" s="448"/>
      <c r="CR28" s="448"/>
      <c r="CS28" s="448"/>
      <c r="CT28" s="448"/>
      <c r="CU28" s="448"/>
      <c r="CV28" s="448"/>
      <c r="CW28" s="448"/>
      <c r="CX28" s="448"/>
      <c r="CY28" s="448"/>
      <c r="CZ28" s="448"/>
      <c r="DA28" s="448"/>
      <c r="DB28" s="448"/>
      <c r="DC28" s="448"/>
      <c r="DD28" s="448"/>
      <c r="DE28" s="448"/>
      <c r="DF28" s="448"/>
      <c r="DG28" s="448"/>
      <c r="DH28" s="448"/>
      <c r="DI28" s="448"/>
      <c r="DJ28" s="448"/>
      <c r="DK28" s="448"/>
      <c r="DL28" s="448"/>
      <c r="DM28" s="448"/>
      <c r="DN28" s="448"/>
      <c r="DO28" s="448"/>
      <c r="DP28" s="448"/>
      <c r="DQ28" s="448"/>
      <c r="DR28" s="448"/>
      <c r="DS28" s="448"/>
      <c r="DT28" s="448"/>
      <c r="DU28" s="448"/>
      <c r="DV28" s="448"/>
      <c r="DW28" s="448"/>
      <c r="DX28" s="448"/>
      <c r="DY28" s="448"/>
      <c r="DZ28" s="448"/>
      <c r="EA28" s="448"/>
      <c r="EB28" s="448"/>
      <c r="EC28" s="448"/>
      <c r="ED28" s="448"/>
      <c r="EE28" s="448"/>
      <c r="EF28" s="448"/>
      <c r="EG28" s="448"/>
      <c r="EH28" s="448"/>
      <c r="EI28" s="448"/>
      <c r="EJ28" s="448"/>
      <c r="EK28" s="448"/>
      <c r="EL28" s="448"/>
      <c r="EM28" s="448"/>
      <c r="EN28" s="448"/>
      <c r="EO28" s="448"/>
      <c r="EP28" s="448"/>
      <c r="EQ28" s="448"/>
      <c r="ER28" s="448"/>
      <c r="ES28" s="448"/>
      <c r="ET28" s="448"/>
      <c r="EU28" s="448"/>
      <c r="EV28" s="448"/>
      <c r="EW28" s="448"/>
      <c r="EX28" s="448"/>
      <c r="EY28" s="448"/>
      <c r="EZ28" s="448"/>
      <c r="FA28" s="448"/>
      <c r="FB28" s="448"/>
      <c r="FC28" s="448"/>
      <c r="FD28" s="448"/>
      <c r="FE28" s="448"/>
      <c r="FF28" s="448"/>
      <c r="FG28" s="448"/>
      <c r="FH28" s="448"/>
      <c r="FI28" s="448"/>
      <c r="FJ28" s="448"/>
      <c r="FK28" s="448"/>
      <c r="FL28" s="448"/>
      <c r="FM28" s="448"/>
      <c r="FN28" s="448"/>
      <c r="FO28" s="448"/>
      <c r="FP28" s="448"/>
      <c r="FQ28" s="448"/>
      <c r="FR28" s="448"/>
      <c r="FS28" s="448"/>
      <c r="FT28" s="448"/>
      <c r="FU28" s="448"/>
      <c r="FV28" s="448"/>
      <c r="FW28" s="448"/>
      <c r="FX28" s="448"/>
      <c r="FY28" s="448"/>
      <c r="FZ28" s="448"/>
      <c r="GA28" s="448"/>
      <c r="GB28" s="448"/>
      <c r="GC28" s="448"/>
      <c r="GD28" s="448"/>
      <c r="GE28" s="448"/>
      <c r="GF28" s="448"/>
      <c r="GG28" s="448"/>
      <c r="GH28" s="448"/>
      <c r="GI28" s="448"/>
      <c r="GJ28" s="448"/>
      <c r="GK28" s="448"/>
      <c r="GL28" s="448"/>
      <c r="GM28" s="448"/>
      <c r="GN28" s="448"/>
      <c r="GO28" s="448"/>
      <c r="GP28" s="448"/>
      <c r="GQ28" s="448"/>
      <c r="GR28" s="448"/>
      <c r="GS28" s="448"/>
      <c r="GT28" s="448"/>
      <c r="GU28" s="448"/>
      <c r="GV28" s="448"/>
      <c r="GW28" s="448"/>
      <c r="GX28" s="448"/>
      <c r="GY28" s="448"/>
      <c r="GZ28" s="448"/>
      <c r="HA28" s="448"/>
      <c r="HB28" s="448"/>
      <c r="HC28" s="448"/>
      <c r="HD28" s="448"/>
      <c r="HE28" s="448"/>
      <c r="HF28" s="448"/>
      <c r="HG28" s="448"/>
      <c r="HH28" s="448"/>
      <c r="HI28" s="448"/>
      <c r="HJ28" s="448"/>
      <c r="HK28" s="448"/>
      <c r="HL28" s="448"/>
      <c r="HM28" s="448"/>
      <c r="HN28" s="448"/>
      <c r="HO28" s="448"/>
      <c r="HP28" s="448"/>
      <c r="HQ28" s="448"/>
      <c r="HR28" s="448"/>
      <c r="HS28" s="448"/>
      <c r="HT28" s="448"/>
      <c r="HU28" s="448"/>
      <c r="HV28" s="448"/>
      <c r="HW28" s="448"/>
      <c r="HX28" s="448"/>
      <c r="HY28" s="448"/>
      <c r="HZ28" s="448"/>
      <c r="IA28" s="448"/>
      <c r="IB28" s="448"/>
      <c r="IC28" s="448"/>
      <c r="ID28" s="448"/>
      <c r="IE28" s="448"/>
      <c r="IF28" s="448"/>
      <c r="IG28" s="448"/>
      <c r="IH28" s="448"/>
      <c r="II28" s="448"/>
      <c r="IJ28" s="448"/>
      <c r="IK28" s="448"/>
      <c r="IL28" s="448"/>
      <c r="IM28" s="448"/>
      <c r="IN28" s="448"/>
      <c r="IO28" s="448"/>
      <c r="IP28" s="448"/>
      <c r="IQ28" s="448"/>
      <c r="IR28" s="448"/>
      <c r="IS28" s="448"/>
      <c r="IT28" s="448"/>
      <c r="IU28" s="448"/>
    </row>
    <row r="29" spans="1:255" s="38" customFormat="1" ht="15.75" thickBot="1">
      <c r="A29" s="4"/>
      <c r="B29" s="5"/>
      <c r="C29" s="26"/>
      <c r="D29" s="126" t="s">
        <v>43</v>
      </c>
      <c r="E29" s="117">
        <f>IF(AND(D2="",Kod!$A$7="ja"),Kod!AR46,"")</f>
        <v>0.30797200387412865</v>
      </c>
      <c r="F29" s="68">
        <f>IF(AND($M$17&lt;&gt;"FEL",AND($D$2="",Kod!$A$7="ja"),SUM(F31:F32)&gt;0),F31/SUM(F31:F32),"")</f>
        <v>0.3148841198144198</v>
      </c>
      <c r="G29" s="68">
        <f>IF(AND($M$17&lt;&gt;"FEL",AND($D$2="",Kod!$A$7="ja"),SUM(G31:G32)&gt;0),G31/SUM(G31:G32),"")</f>
        <v>0.31734209959535886</v>
      </c>
      <c r="H29" s="139">
        <f>IF(AND($M$17&lt;&gt;"FEL",AND($D$2="",Kod!$A$7="ja"),SUM(H31:H32)&gt;0),H31/SUM(H31:H32),"")</f>
        <v>0.3170572803281378</v>
      </c>
      <c r="I29" s="40"/>
      <c r="J29" s="40"/>
      <c r="K29" s="40"/>
      <c r="L29" s="40"/>
      <c r="M29" s="40"/>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8"/>
      <c r="CO29" s="448"/>
      <c r="CP29" s="448"/>
      <c r="CQ29" s="448"/>
      <c r="CR29" s="448"/>
      <c r="CS29" s="448"/>
      <c r="CT29" s="448"/>
      <c r="CU29" s="448"/>
      <c r="CV29" s="448"/>
      <c r="CW29" s="448"/>
      <c r="CX29" s="448"/>
      <c r="CY29" s="448"/>
      <c r="CZ29" s="448"/>
      <c r="DA29" s="448"/>
      <c r="DB29" s="448"/>
      <c r="DC29" s="448"/>
      <c r="DD29" s="448"/>
      <c r="DE29" s="448"/>
      <c r="DF29" s="448"/>
      <c r="DG29" s="448"/>
      <c r="DH29" s="448"/>
      <c r="DI29" s="448"/>
      <c r="DJ29" s="448"/>
      <c r="DK29" s="448"/>
      <c r="DL29" s="448"/>
      <c r="DM29" s="448"/>
      <c r="DN29" s="448"/>
      <c r="DO29" s="448"/>
      <c r="DP29" s="448"/>
      <c r="DQ29" s="448"/>
      <c r="DR29" s="448"/>
      <c r="DS29" s="448"/>
      <c r="DT29" s="448"/>
      <c r="DU29" s="448"/>
      <c r="DV29" s="448"/>
      <c r="DW29" s="448"/>
      <c r="DX29" s="448"/>
      <c r="DY29" s="448"/>
      <c r="DZ29" s="448"/>
      <c r="EA29" s="448"/>
      <c r="EB29" s="448"/>
      <c r="EC29" s="448"/>
      <c r="ED29" s="448"/>
      <c r="EE29" s="448"/>
      <c r="EF29" s="448"/>
      <c r="EG29" s="448"/>
      <c r="EH29" s="448"/>
      <c r="EI29" s="448"/>
      <c r="EJ29" s="448"/>
      <c r="EK29" s="448"/>
      <c r="EL29" s="448"/>
      <c r="EM29" s="448"/>
      <c r="EN29" s="448"/>
      <c r="EO29" s="448"/>
      <c r="EP29" s="448"/>
      <c r="EQ29" s="448"/>
      <c r="ER29" s="448"/>
      <c r="ES29" s="448"/>
      <c r="ET29" s="448"/>
      <c r="EU29" s="448"/>
      <c r="EV29" s="448"/>
      <c r="EW29" s="448"/>
      <c r="EX29" s="448"/>
      <c r="EY29" s="448"/>
      <c r="EZ29" s="448"/>
      <c r="FA29" s="448"/>
      <c r="FB29" s="448"/>
      <c r="FC29" s="448"/>
      <c r="FD29" s="448"/>
      <c r="FE29" s="448"/>
      <c r="FF29" s="448"/>
      <c r="FG29" s="448"/>
      <c r="FH29" s="448"/>
      <c r="FI29" s="448"/>
      <c r="FJ29" s="448"/>
      <c r="FK29" s="448"/>
      <c r="FL29" s="448"/>
      <c r="FM29" s="448"/>
      <c r="FN29" s="448"/>
      <c r="FO29" s="448"/>
      <c r="FP29" s="448"/>
      <c r="FQ29" s="448"/>
      <c r="FR29" s="448"/>
      <c r="FS29" s="448"/>
      <c r="FT29" s="448"/>
      <c r="FU29" s="448"/>
      <c r="FV29" s="448"/>
      <c r="FW29" s="448"/>
      <c r="FX29" s="448"/>
      <c r="FY29" s="448"/>
      <c r="FZ29" s="448"/>
      <c r="GA29" s="448"/>
      <c r="GB29" s="448"/>
      <c r="GC29" s="448"/>
      <c r="GD29" s="448"/>
      <c r="GE29" s="448"/>
      <c r="GF29" s="448"/>
      <c r="GG29" s="448"/>
      <c r="GH29" s="448"/>
      <c r="GI29" s="448"/>
      <c r="GJ29" s="448"/>
      <c r="GK29" s="448"/>
      <c r="GL29" s="448"/>
      <c r="GM29" s="448"/>
      <c r="GN29" s="448"/>
      <c r="GO29" s="448"/>
      <c r="GP29" s="448"/>
      <c r="GQ29" s="448"/>
      <c r="GR29" s="448"/>
      <c r="GS29" s="448"/>
      <c r="GT29" s="448"/>
      <c r="GU29" s="448"/>
      <c r="GV29" s="448"/>
      <c r="GW29" s="448"/>
      <c r="GX29" s="448"/>
      <c r="GY29" s="448"/>
      <c r="GZ29" s="448"/>
      <c r="HA29" s="448"/>
      <c r="HB29" s="448"/>
      <c r="HC29" s="448"/>
      <c r="HD29" s="448"/>
      <c r="HE29" s="448"/>
      <c r="HF29" s="448"/>
      <c r="HG29" s="448"/>
      <c r="HH29" s="448"/>
      <c r="HI29" s="448"/>
      <c r="HJ29" s="448"/>
      <c r="HK29" s="448"/>
      <c r="HL29" s="448"/>
      <c r="HM29" s="448"/>
      <c r="HN29" s="448"/>
      <c r="HO29" s="448"/>
      <c r="HP29" s="448"/>
      <c r="HQ29" s="448"/>
      <c r="HR29" s="448"/>
      <c r="HS29" s="448"/>
      <c r="HT29" s="448"/>
      <c r="HU29" s="448"/>
      <c r="HV29" s="448"/>
      <c r="HW29" s="448"/>
      <c r="HX29" s="448"/>
      <c r="HY29" s="448"/>
      <c r="HZ29" s="448"/>
      <c r="IA29" s="448"/>
      <c r="IB29" s="448"/>
      <c r="IC29" s="448"/>
      <c r="ID29" s="448"/>
      <c r="IE29" s="448"/>
      <c r="IF29" s="448"/>
      <c r="IG29" s="448"/>
      <c r="IH29" s="448"/>
      <c r="II29" s="448"/>
      <c r="IJ29" s="448"/>
      <c r="IK29" s="448"/>
      <c r="IL29" s="448"/>
      <c r="IM29" s="448"/>
      <c r="IN29" s="448"/>
      <c r="IO29" s="448"/>
      <c r="IP29" s="448"/>
      <c r="IQ29" s="448"/>
      <c r="IR29" s="448"/>
      <c r="IS29" s="448"/>
      <c r="IT29" s="448"/>
      <c r="IU29" s="448"/>
    </row>
    <row r="30" spans="1:255" s="38" customFormat="1" ht="15.75" thickBot="1">
      <c r="A30" s="4"/>
      <c r="B30" s="5"/>
      <c r="C30" s="26"/>
      <c r="D30" s="54"/>
      <c r="E30" s="194"/>
      <c r="F30" s="54"/>
      <c r="G30" s="54"/>
      <c r="H30" s="54"/>
      <c r="I30" s="40"/>
      <c r="J30" s="40"/>
      <c r="K30" s="40"/>
      <c r="L30" s="40"/>
      <c r="M30" s="40"/>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8"/>
      <c r="AZ30" s="448"/>
      <c r="BA30" s="448"/>
      <c r="BB30" s="448"/>
      <c r="BC30" s="448"/>
      <c r="BD30" s="448"/>
      <c r="BE30" s="448"/>
      <c r="BF30" s="448"/>
      <c r="BG30" s="448"/>
      <c r="BH30" s="448"/>
      <c r="BI30" s="448"/>
      <c r="BJ30" s="448"/>
      <c r="BK30" s="448"/>
      <c r="BL30" s="448"/>
      <c r="BM30" s="448"/>
      <c r="BN30" s="448"/>
      <c r="BO30" s="448"/>
      <c r="BP30" s="448"/>
      <c r="BQ30" s="448"/>
      <c r="BR30" s="448"/>
      <c r="BS30" s="448"/>
      <c r="BT30" s="448"/>
      <c r="BU30" s="448"/>
      <c r="BV30" s="448"/>
      <c r="BW30" s="448"/>
      <c r="BX30" s="448"/>
      <c r="BY30" s="448"/>
      <c r="BZ30" s="448"/>
      <c r="CA30" s="448"/>
      <c r="CB30" s="448"/>
      <c r="CC30" s="448"/>
      <c r="CD30" s="448"/>
      <c r="CE30" s="448"/>
      <c r="CF30" s="448"/>
      <c r="CG30" s="448"/>
      <c r="CH30" s="448"/>
      <c r="CI30" s="448"/>
      <c r="CJ30" s="448"/>
      <c r="CK30" s="448"/>
      <c r="CL30" s="448"/>
      <c r="CM30" s="448"/>
      <c r="CN30" s="448"/>
      <c r="CO30" s="448"/>
      <c r="CP30" s="448"/>
      <c r="CQ30" s="448"/>
      <c r="CR30" s="448"/>
      <c r="CS30" s="448"/>
      <c r="CT30" s="448"/>
      <c r="CU30" s="448"/>
      <c r="CV30" s="448"/>
      <c r="CW30" s="448"/>
      <c r="CX30" s="448"/>
      <c r="CY30" s="448"/>
      <c r="CZ30" s="448"/>
      <c r="DA30" s="448"/>
      <c r="DB30" s="448"/>
      <c r="DC30" s="448"/>
      <c r="DD30" s="448"/>
      <c r="DE30" s="448"/>
      <c r="DF30" s="448"/>
      <c r="DG30" s="448"/>
      <c r="DH30" s="448"/>
      <c r="DI30" s="448"/>
      <c r="DJ30" s="448"/>
      <c r="DK30" s="448"/>
      <c r="DL30" s="448"/>
      <c r="DM30" s="448"/>
      <c r="DN30" s="448"/>
      <c r="DO30" s="448"/>
      <c r="DP30" s="448"/>
      <c r="DQ30" s="448"/>
      <c r="DR30" s="448"/>
      <c r="DS30" s="448"/>
      <c r="DT30" s="448"/>
      <c r="DU30" s="448"/>
      <c r="DV30" s="448"/>
      <c r="DW30" s="448"/>
      <c r="DX30" s="448"/>
      <c r="DY30" s="448"/>
      <c r="DZ30" s="448"/>
      <c r="EA30" s="448"/>
      <c r="EB30" s="448"/>
      <c r="EC30" s="448"/>
      <c r="ED30" s="448"/>
      <c r="EE30" s="448"/>
      <c r="EF30" s="448"/>
      <c r="EG30" s="448"/>
      <c r="EH30" s="448"/>
      <c r="EI30" s="448"/>
      <c r="EJ30" s="448"/>
      <c r="EK30" s="448"/>
      <c r="EL30" s="448"/>
      <c r="EM30" s="448"/>
      <c r="EN30" s="448"/>
      <c r="EO30" s="448"/>
      <c r="EP30" s="448"/>
      <c r="EQ30" s="448"/>
      <c r="ER30" s="448"/>
      <c r="ES30" s="448"/>
      <c r="ET30" s="448"/>
      <c r="EU30" s="448"/>
      <c r="EV30" s="448"/>
      <c r="EW30" s="448"/>
      <c r="EX30" s="448"/>
      <c r="EY30" s="448"/>
      <c r="EZ30" s="448"/>
      <c r="FA30" s="448"/>
      <c r="FB30" s="448"/>
      <c r="FC30" s="448"/>
      <c r="FD30" s="448"/>
      <c r="FE30" s="448"/>
      <c r="FF30" s="448"/>
      <c r="FG30" s="448"/>
      <c r="FH30" s="448"/>
      <c r="FI30" s="448"/>
      <c r="FJ30" s="448"/>
      <c r="FK30" s="448"/>
      <c r="FL30" s="448"/>
      <c r="FM30" s="448"/>
      <c r="FN30" s="448"/>
      <c r="FO30" s="448"/>
      <c r="FP30" s="448"/>
      <c r="FQ30" s="448"/>
      <c r="FR30" s="448"/>
      <c r="FS30" s="448"/>
      <c r="FT30" s="448"/>
      <c r="FU30" s="448"/>
      <c r="FV30" s="448"/>
      <c r="FW30" s="448"/>
      <c r="FX30" s="448"/>
      <c r="FY30" s="448"/>
      <c r="FZ30" s="448"/>
      <c r="GA30" s="448"/>
      <c r="GB30" s="448"/>
      <c r="GC30" s="448"/>
      <c r="GD30" s="448"/>
      <c r="GE30" s="448"/>
      <c r="GF30" s="448"/>
      <c r="GG30" s="448"/>
      <c r="GH30" s="448"/>
      <c r="GI30" s="448"/>
      <c r="GJ30" s="448"/>
      <c r="GK30" s="448"/>
      <c r="GL30" s="448"/>
      <c r="GM30" s="448"/>
      <c r="GN30" s="448"/>
      <c r="GO30" s="448"/>
      <c r="GP30" s="448"/>
      <c r="GQ30" s="448"/>
      <c r="GR30" s="448"/>
      <c r="GS30" s="448"/>
      <c r="GT30" s="448"/>
      <c r="GU30" s="448"/>
      <c r="GV30" s="448"/>
      <c r="GW30" s="448"/>
      <c r="GX30" s="448"/>
      <c r="GY30" s="448"/>
      <c r="GZ30" s="448"/>
      <c r="HA30" s="448"/>
      <c r="HB30" s="448"/>
      <c r="HC30" s="448"/>
      <c r="HD30" s="448"/>
      <c r="HE30" s="448"/>
      <c r="HF30" s="448"/>
      <c r="HG30" s="448"/>
      <c r="HH30" s="448"/>
      <c r="HI30" s="448"/>
      <c r="HJ30" s="448"/>
      <c r="HK30" s="448"/>
      <c r="HL30" s="448"/>
      <c r="HM30" s="448"/>
      <c r="HN30" s="448"/>
      <c r="HO30" s="448"/>
      <c r="HP30" s="448"/>
      <c r="HQ30" s="448"/>
      <c r="HR30" s="448"/>
      <c r="HS30" s="448"/>
      <c r="HT30" s="448"/>
      <c r="HU30" s="448"/>
      <c r="HV30" s="448"/>
      <c r="HW30" s="448"/>
      <c r="HX30" s="448"/>
      <c r="HY30" s="448"/>
      <c r="HZ30" s="448"/>
      <c r="IA30" s="448"/>
      <c r="IB30" s="448"/>
      <c r="IC30" s="448"/>
      <c r="ID30" s="448"/>
      <c r="IE30" s="448"/>
      <c r="IF30" s="448"/>
      <c r="IG30" s="448"/>
      <c r="IH30" s="448"/>
      <c r="II30" s="448"/>
      <c r="IJ30" s="448"/>
      <c r="IK30" s="448"/>
      <c r="IL30" s="448"/>
      <c r="IM30" s="448"/>
      <c r="IN30" s="448"/>
      <c r="IO30" s="448"/>
      <c r="IP30" s="448"/>
      <c r="IQ30" s="448"/>
      <c r="IR30" s="448"/>
      <c r="IS30" s="448"/>
      <c r="IT30" s="448"/>
      <c r="IU30" s="448"/>
    </row>
    <row r="31" spans="1:255" s="38" customFormat="1" ht="15">
      <c r="A31" s="4"/>
      <c r="B31" s="5"/>
      <c r="C31" s="26"/>
      <c r="D31" s="122" t="s">
        <v>11</v>
      </c>
      <c r="E31" s="112">
        <f>IF(AND($D$2="",Kod!$A$7="ja"),IF(Kod!AR42&gt;0,Kod!AR42,0),"")</f>
        <v>30.36038903038825</v>
      </c>
      <c r="F31" s="51">
        <f>IF(AND($M$17&lt;&gt;"FEL",AND($D$2="",Kod!$A$7="ja"),$M$33&lt;&gt;"FEL"),Kod!AS42,IF(J31&lt;0,"-",""))</f>
        <v>30.16700221015684</v>
      </c>
      <c r="G31" s="51">
        <f>IF(AND($M$17&lt;&gt;"FEL",AND($D$2="",Kod!$A$7="ja"),$M$33&lt;&gt;"FEL"),Kod!AT42,IF(K31&lt;0,"-",""))</f>
        <v>28.82557581407567</v>
      </c>
      <c r="H31" s="140">
        <f>IF(AND($M$17&lt;&gt;"FEL",AND($D$2="",Kod!$A$7="ja"),$M$33&lt;&gt;"FEL"),Kod!AU42,IF(L31&lt;0,"-",""))</f>
        <v>26.750637717116625</v>
      </c>
      <c r="I31" s="40"/>
      <c r="J31" s="144">
        <f>Kod!AS42</f>
        <v>30.16700221015684</v>
      </c>
      <c r="K31" s="144">
        <f>Kod!AT42</f>
        <v>28.82557581407567</v>
      </c>
      <c r="L31" s="144">
        <f>Kod!AU42</f>
        <v>26.750637717116625</v>
      </c>
      <c r="M31" s="40"/>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8"/>
      <c r="BQ31" s="448"/>
      <c r="BR31" s="448"/>
      <c r="BS31" s="448"/>
      <c r="BT31" s="448"/>
      <c r="BU31" s="448"/>
      <c r="BV31" s="448"/>
      <c r="BW31" s="448"/>
      <c r="BX31" s="448"/>
      <c r="BY31" s="448"/>
      <c r="BZ31" s="448"/>
      <c r="CA31" s="448"/>
      <c r="CB31" s="448"/>
      <c r="CC31" s="448"/>
      <c r="CD31" s="448"/>
      <c r="CE31" s="448"/>
      <c r="CF31" s="448"/>
      <c r="CG31" s="448"/>
      <c r="CH31" s="448"/>
      <c r="CI31" s="448"/>
      <c r="CJ31" s="448"/>
      <c r="CK31" s="448"/>
      <c r="CL31" s="448"/>
      <c r="CM31" s="448"/>
      <c r="CN31" s="448"/>
      <c r="CO31" s="448"/>
      <c r="CP31" s="448"/>
      <c r="CQ31" s="448"/>
      <c r="CR31" s="448"/>
      <c r="CS31" s="448"/>
      <c r="CT31" s="448"/>
      <c r="CU31" s="448"/>
      <c r="CV31" s="448"/>
      <c r="CW31" s="448"/>
      <c r="CX31" s="448"/>
      <c r="CY31" s="448"/>
      <c r="CZ31" s="448"/>
      <c r="DA31" s="448"/>
      <c r="DB31" s="448"/>
      <c r="DC31" s="448"/>
      <c r="DD31" s="448"/>
      <c r="DE31" s="448"/>
      <c r="DF31" s="448"/>
      <c r="DG31" s="448"/>
      <c r="DH31" s="448"/>
      <c r="DI31" s="448"/>
      <c r="DJ31" s="448"/>
      <c r="DK31" s="448"/>
      <c r="DL31" s="448"/>
      <c r="DM31" s="448"/>
      <c r="DN31" s="448"/>
      <c r="DO31" s="448"/>
      <c r="DP31" s="448"/>
      <c r="DQ31" s="448"/>
      <c r="DR31" s="448"/>
      <c r="DS31" s="448"/>
      <c r="DT31" s="448"/>
      <c r="DU31" s="448"/>
      <c r="DV31" s="448"/>
      <c r="DW31" s="448"/>
      <c r="DX31" s="448"/>
      <c r="DY31" s="448"/>
      <c r="DZ31" s="448"/>
      <c r="EA31" s="448"/>
      <c r="EB31" s="448"/>
      <c r="EC31" s="448"/>
      <c r="ED31" s="448"/>
      <c r="EE31" s="448"/>
      <c r="EF31" s="448"/>
      <c r="EG31" s="448"/>
      <c r="EH31" s="448"/>
      <c r="EI31" s="448"/>
      <c r="EJ31" s="448"/>
      <c r="EK31" s="448"/>
      <c r="EL31" s="448"/>
      <c r="EM31" s="448"/>
      <c r="EN31" s="448"/>
      <c r="EO31" s="448"/>
      <c r="EP31" s="448"/>
      <c r="EQ31" s="448"/>
      <c r="ER31" s="448"/>
      <c r="ES31" s="448"/>
      <c r="ET31" s="448"/>
      <c r="EU31" s="448"/>
      <c r="EV31" s="448"/>
      <c r="EW31" s="448"/>
      <c r="EX31" s="448"/>
      <c r="EY31" s="448"/>
      <c r="EZ31" s="448"/>
      <c r="FA31" s="448"/>
      <c r="FB31" s="448"/>
      <c r="FC31" s="448"/>
      <c r="FD31" s="448"/>
      <c r="FE31" s="448"/>
      <c r="FF31" s="448"/>
      <c r="FG31" s="448"/>
      <c r="FH31" s="448"/>
      <c r="FI31" s="448"/>
      <c r="FJ31" s="448"/>
      <c r="FK31" s="448"/>
      <c r="FL31" s="448"/>
      <c r="FM31" s="448"/>
      <c r="FN31" s="448"/>
      <c r="FO31" s="448"/>
      <c r="FP31" s="448"/>
      <c r="FQ31" s="448"/>
      <c r="FR31" s="448"/>
      <c r="FS31" s="448"/>
      <c r="FT31" s="448"/>
      <c r="FU31" s="448"/>
      <c r="FV31" s="448"/>
      <c r="FW31" s="448"/>
      <c r="FX31" s="448"/>
      <c r="FY31" s="448"/>
      <c r="FZ31" s="448"/>
      <c r="GA31" s="448"/>
      <c r="GB31" s="448"/>
      <c r="GC31" s="448"/>
      <c r="GD31" s="448"/>
      <c r="GE31" s="448"/>
      <c r="GF31" s="448"/>
      <c r="GG31" s="448"/>
      <c r="GH31" s="448"/>
      <c r="GI31" s="448"/>
      <c r="GJ31" s="448"/>
      <c r="GK31" s="448"/>
      <c r="GL31" s="448"/>
      <c r="GM31" s="448"/>
      <c r="GN31" s="448"/>
      <c r="GO31" s="448"/>
      <c r="GP31" s="448"/>
      <c r="GQ31" s="448"/>
      <c r="GR31" s="448"/>
      <c r="GS31" s="448"/>
      <c r="GT31" s="448"/>
      <c r="GU31" s="448"/>
      <c r="GV31" s="448"/>
      <c r="GW31" s="448"/>
      <c r="GX31" s="448"/>
      <c r="GY31" s="448"/>
      <c r="GZ31" s="448"/>
      <c r="HA31" s="448"/>
      <c r="HB31" s="448"/>
      <c r="HC31" s="448"/>
      <c r="HD31" s="448"/>
      <c r="HE31" s="448"/>
      <c r="HF31" s="448"/>
      <c r="HG31" s="448"/>
      <c r="HH31" s="448"/>
      <c r="HI31" s="448"/>
      <c r="HJ31" s="448"/>
      <c r="HK31" s="448"/>
      <c r="HL31" s="448"/>
      <c r="HM31" s="448"/>
      <c r="HN31" s="448"/>
      <c r="HO31" s="448"/>
      <c r="HP31" s="448"/>
      <c r="HQ31" s="448"/>
      <c r="HR31" s="448"/>
      <c r="HS31" s="448"/>
      <c r="HT31" s="448"/>
      <c r="HU31" s="448"/>
      <c r="HV31" s="448"/>
      <c r="HW31" s="448"/>
      <c r="HX31" s="448"/>
      <c r="HY31" s="448"/>
      <c r="HZ31" s="448"/>
      <c r="IA31" s="448"/>
      <c r="IB31" s="448"/>
      <c r="IC31" s="448"/>
      <c r="ID31" s="448"/>
      <c r="IE31" s="448"/>
      <c r="IF31" s="448"/>
      <c r="IG31" s="448"/>
      <c r="IH31" s="448"/>
      <c r="II31" s="448"/>
      <c r="IJ31" s="448"/>
      <c r="IK31" s="448"/>
      <c r="IL31" s="448"/>
      <c r="IM31" s="448"/>
      <c r="IN31" s="448"/>
      <c r="IO31" s="448"/>
      <c r="IP31" s="448"/>
      <c r="IQ31" s="448"/>
      <c r="IR31" s="448"/>
      <c r="IS31" s="448"/>
      <c r="IT31" s="448"/>
      <c r="IU31" s="448"/>
    </row>
    <row r="32" spans="1:255" s="38" customFormat="1" ht="15">
      <c r="A32" s="4"/>
      <c r="B32" s="5"/>
      <c r="C32" s="26"/>
      <c r="D32" s="123" t="s">
        <v>9</v>
      </c>
      <c r="E32" s="113">
        <f>IF(AND($D$2="",Kod!$A$7="ja"),IF(Kod!AR43&gt;0,Kod!AR43,0),"")</f>
        <v>68.22126335512162</v>
      </c>
      <c r="F32" s="48">
        <f>IF(AND($M$17&lt;&gt;"FEL",AND($D$2="",Kod!$A$7="ja"),$M$33&lt;&gt;"FEL"),Kod!AS43,IF(J32&lt;0,"-",""))</f>
        <v>65.63650235506567</v>
      </c>
      <c r="G32" s="48">
        <f>IF(AND($M$17&lt;&gt;"FEL",AND($D$2="",Kod!$A$7="ja"),$M$33&lt;&gt;"FEL"),Kod!AT43,IF(K32&lt;0,"-",""))</f>
        <v>62.0088134800993</v>
      </c>
      <c r="H32" s="141">
        <f>IF(AND($M$17&lt;&gt;"FEL",AND($D$2="",Kod!$A$7="ja"),$M$33&lt;&gt;"FEL"),Kod!AU43,IF(L32&lt;0,"-",""))</f>
        <v>57.62098651882934</v>
      </c>
      <c r="I32" s="40"/>
      <c r="J32" s="144">
        <f>Kod!AS43</f>
        <v>65.63650235506567</v>
      </c>
      <c r="K32" s="144">
        <f>Kod!AT43</f>
        <v>62.0088134800993</v>
      </c>
      <c r="L32" s="144">
        <f>Kod!AU43</f>
        <v>57.62098651882934</v>
      </c>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48"/>
      <c r="BY32" s="448"/>
      <c r="BZ32" s="448"/>
      <c r="CA32" s="448"/>
      <c r="CB32" s="448"/>
      <c r="CC32" s="448"/>
      <c r="CD32" s="448"/>
      <c r="CE32" s="448"/>
      <c r="CF32" s="448"/>
      <c r="CG32" s="448"/>
      <c r="CH32" s="448"/>
      <c r="CI32" s="448"/>
      <c r="CJ32" s="448"/>
      <c r="CK32" s="448"/>
      <c r="CL32" s="448"/>
      <c r="CM32" s="448"/>
      <c r="CN32" s="448"/>
      <c r="CO32" s="448"/>
      <c r="CP32" s="448"/>
      <c r="CQ32" s="448"/>
      <c r="CR32" s="448"/>
      <c r="CS32" s="448"/>
      <c r="CT32" s="448"/>
      <c r="CU32" s="448"/>
      <c r="CV32" s="448"/>
      <c r="CW32" s="448"/>
      <c r="CX32" s="448"/>
      <c r="CY32" s="448"/>
      <c r="CZ32" s="448"/>
      <c r="DA32" s="448"/>
      <c r="DB32" s="448"/>
      <c r="DC32" s="448"/>
      <c r="DD32" s="448"/>
      <c r="DE32" s="448"/>
      <c r="DF32" s="448"/>
      <c r="DG32" s="448"/>
      <c r="DH32" s="448"/>
      <c r="DI32" s="448"/>
      <c r="DJ32" s="448"/>
      <c r="DK32" s="448"/>
      <c r="DL32" s="448"/>
      <c r="DM32" s="448"/>
      <c r="DN32" s="448"/>
      <c r="DO32" s="448"/>
      <c r="DP32" s="448"/>
      <c r="DQ32" s="448"/>
      <c r="DR32" s="448"/>
      <c r="DS32" s="448"/>
      <c r="DT32" s="448"/>
      <c r="DU32" s="448"/>
      <c r="DV32" s="448"/>
      <c r="DW32" s="448"/>
      <c r="DX32" s="448"/>
      <c r="DY32" s="448"/>
      <c r="DZ32" s="448"/>
      <c r="EA32" s="448"/>
      <c r="EB32" s="448"/>
      <c r="EC32" s="448"/>
      <c r="ED32" s="448"/>
      <c r="EE32" s="448"/>
      <c r="EF32" s="448"/>
      <c r="EG32" s="448"/>
      <c r="EH32" s="448"/>
      <c r="EI32" s="448"/>
      <c r="EJ32" s="448"/>
      <c r="EK32" s="448"/>
      <c r="EL32" s="448"/>
      <c r="EM32" s="448"/>
      <c r="EN32" s="448"/>
      <c r="EO32" s="448"/>
      <c r="EP32" s="448"/>
      <c r="EQ32" s="448"/>
      <c r="ER32" s="448"/>
      <c r="ES32" s="448"/>
      <c r="ET32" s="448"/>
      <c r="EU32" s="448"/>
      <c r="EV32" s="448"/>
      <c r="EW32" s="448"/>
      <c r="EX32" s="448"/>
      <c r="EY32" s="448"/>
      <c r="EZ32" s="448"/>
      <c r="FA32" s="448"/>
      <c r="FB32" s="448"/>
      <c r="FC32" s="448"/>
      <c r="FD32" s="448"/>
      <c r="FE32" s="448"/>
      <c r="FF32" s="448"/>
      <c r="FG32" s="448"/>
      <c r="FH32" s="448"/>
      <c r="FI32" s="448"/>
      <c r="FJ32" s="448"/>
      <c r="FK32" s="448"/>
      <c r="FL32" s="448"/>
      <c r="FM32" s="448"/>
      <c r="FN32" s="448"/>
      <c r="FO32" s="448"/>
      <c r="FP32" s="448"/>
      <c r="FQ32" s="448"/>
      <c r="FR32" s="448"/>
      <c r="FS32" s="448"/>
      <c r="FT32" s="448"/>
      <c r="FU32" s="448"/>
      <c r="FV32" s="448"/>
      <c r="FW32" s="448"/>
      <c r="FX32" s="448"/>
      <c r="FY32" s="448"/>
      <c r="FZ32" s="448"/>
      <c r="GA32" s="448"/>
      <c r="GB32" s="448"/>
      <c r="GC32" s="448"/>
      <c r="GD32" s="448"/>
      <c r="GE32" s="448"/>
      <c r="GF32" s="448"/>
      <c r="GG32" s="448"/>
      <c r="GH32" s="448"/>
      <c r="GI32" s="448"/>
      <c r="GJ32" s="448"/>
      <c r="GK32" s="448"/>
      <c r="GL32" s="448"/>
      <c r="GM32" s="448"/>
      <c r="GN32" s="448"/>
      <c r="GO32" s="448"/>
      <c r="GP32" s="448"/>
      <c r="GQ32" s="448"/>
      <c r="GR32" s="448"/>
      <c r="GS32" s="448"/>
      <c r="GT32" s="448"/>
      <c r="GU32" s="448"/>
      <c r="GV32" s="448"/>
      <c r="GW32" s="448"/>
      <c r="GX32" s="448"/>
      <c r="GY32" s="448"/>
      <c r="GZ32" s="448"/>
      <c r="HA32" s="448"/>
      <c r="HB32" s="448"/>
      <c r="HC32" s="448"/>
      <c r="HD32" s="448"/>
      <c r="HE32" s="448"/>
      <c r="HF32" s="448"/>
      <c r="HG32" s="448"/>
      <c r="HH32" s="448"/>
      <c r="HI32" s="448"/>
      <c r="HJ32" s="448"/>
      <c r="HK32" s="448"/>
      <c r="HL32" s="448"/>
      <c r="HM32" s="448"/>
      <c r="HN32" s="448"/>
      <c r="HO32" s="448"/>
      <c r="HP32" s="448"/>
      <c r="HQ32" s="448"/>
      <c r="HR32" s="448"/>
      <c r="HS32" s="448"/>
      <c r="HT32" s="448"/>
      <c r="HU32" s="448"/>
      <c r="HV32" s="448"/>
      <c r="HW32" s="448"/>
      <c r="HX32" s="448"/>
      <c r="HY32" s="448"/>
      <c r="HZ32" s="448"/>
      <c r="IA32" s="448"/>
      <c r="IB32" s="448"/>
      <c r="IC32" s="448"/>
      <c r="ID32" s="448"/>
      <c r="IE32" s="448"/>
      <c r="IF32" s="448"/>
      <c r="IG32" s="448"/>
      <c r="IH32" s="448"/>
      <c r="II32" s="448"/>
      <c r="IJ32" s="448"/>
      <c r="IK32" s="448"/>
      <c r="IL32" s="448"/>
      <c r="IM32" s="448"/>
      <c r="IN32" s="448"/>
      <c r="IO32" s="448"/>
      <c r="IP32" s="448"/>
      <c r="IQ32" s="448"/>
      <c r="IR32" s="448"/>
      <c r="IS32" s="448"/>
      <c r="IT32" s="448"/>
      <c r="IU32" s="448"/>
    </row>
    <row r="33" spans="1:255" s="38" customFormat="1" ht="15.75" thickBot="1">
      <c r="A33" s="4"/>
      <c r="B33" s="5"/>
      <c r="C33" s="26"/>
      <c r="D33" s="127" t="s">
        <v>10</v>
      </c>
      <c r="E33" s="114">
        <f>IF(AND($D$2="",Kod!$A$7="ja"),IF(Kod!AR44&gt;0,Kod!AR44,0),"")</f>
        <v>29.539347614490136</v>
      </c>
      <c r="F33" s="52">
        <f>IF(AND($M$17&lt;&gt;"FEL",AND($D$2="",Kod!$A$7="ja"),$M$33&lt;&gt;"FEL"),Kod!AS44,IF(J33&lt;0,"-",""))</f>
        <v>28.113838588560707</v>
      </c>
      <c r="G33" s="52">
        <f>IF(AND($M$17&lt;&gt;"FEL",AND($D$2="",Kod!$A$7="ja"),$M$33&lt;&gt;"FEL"),Kod!AT44,IF(K33&lt;0,"-",""))</f>
        <v>26.52602449588784</v>
      </c>
      <c r="H33" s="142">
        <f>IF(AND($M$17&lt;&gt;"FEL",AND($D$2="",Kod!$A$7="ja"),$M$33&lt;&gt;"FEL"),Kod!AU44,IF(L33&lt;0,"-",""))</f>
        <v>23.626321381205155</v>
      </c>
      <c r="I33" s="40"/>
      <c r="J33" s="144">
        <f>Kod!AS44</f>
        <v>28.113838588560707</v>
      </c>
      <c r="K33" s="144">
        <f>Kod!AT44</f>
        <v>26.52602449588784</v>
      </c>
      <c r="L33" s="144">
        <f>Kod!AU44</f>
        <v>23.626321381205155</v>
      </c>
      <c r="M33" s="38">
        <f>IF(OR(Kod!AS42&lt;=0,Kod!AT42&lt;=0,Kod!AU42&lt;=0,Kod!AS43&lt;=0,Kod!AT43&lt;=0,Kod!AU43&lt;=0,Kod!AS44&lt;=0,Kod!AT44&lt;=0,Kod!AU44&lt;=0),"FEL","")</f>
      </c>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8"/>
      <c r="BN33" s="448"/>
      <c r="BO33" s="448"/>
      <c r="BP33" s="448"/>
      <c r="BQ33" s="448"/>
      <c r="BR33" s="448"/>
      <c r="BS33" s="448"/>
      <c r="BT33" s="448"/>
      <c r="BU33" s="448"/>
      <c r="BV33" s="448"/>
      <c r="BW33" s="448"/>
      <c r="BX33" s="448"/>
      <c r="BY33" s="448"/>
      <c r="BZ33" s="448"/>
      <c r="CA33" s="448"/>
      <c r="CB33" s="448"/>
      <c r="CC33" s="448"/>
      <c r="CD33" s="448"/>
      <c r="CE33" s="448"/>
      <c r="CF33" s="448"/>
      <c r="CG33" s="448"/>
      <c r="CH33" s="448"/>
      <c r="CI33" s="448"/>
      <c r="CJ33" s="448"/>
      <c r="CK33" s="448"/>
      <c r="CL33" s="448"/>
      <c r="CM33" s="448"/>
      <c r="CN33" s="448"/>
      <c r="CO33" s="448"/>
      <c r="CP33" s="448"/>
      <c r="CQ33" s="448"/>
      <c r="CR33" s="448"/>
      <c r="CS33" s="448"/>
      <c r="CT33" s="448"/>
      <c r="CU33" s="448"/>
      <c r="CV33" s="448"/>
      <c r="CW33" s="448"/>
      <c r="CX33" s="448"/>
      <c r="CY33" s="448"/>
      <c r="CZ33" s="448"/>
      <c r="DA33" s="448"/>
      <c r="DB33" s="448"/>
      <c r="DC33" s="448"/>
      <c r="DD33" s="448"/>
      <c r="DE33" s="448"/>
      <c r="DF33" s="448"/>
      <c r="DG33" s="448"/>
      <c r="DH33" s="448"/>
      <c r="DI33" s="448"/>
      <c r="DJ33" s="448"/>
      <c r="DK33" s="448"/>
      <c r="DL33" s="448"/>
      <c r="DM33" s="448"/>
      <c r="DN33" s="448"/>
      <c r="DO33" s="448"/>
      <c r="DP33" s="448"/>
      <c r="DQ33" s="448"/>
      <c r="DR33" s="448"/>
      <c r="DS33" s="448"/>
      <c r="DT33" s="448"/>
      <c r="DU33" s="448"/>
      <c r="DV33" s="448"/>
      <c r="DW33" s="448"/>
      <c r="DX33" s="448"/>
      <c r="DY33" s="448"/>
      <c r="DZ33" s="448"/>
      <c r="EA33" s="448"/>
      <c r="EB33" s="448"/>
      <c r="EC33" s="448"/>
      <c r="ED33" s="448"/>
      <c r="EE33" s="448"/>
      <c r="EF33" s="448"/>
      <c r="EG33" s="448"/>
      <c r="EH33" s="448"/>
      <c r="EI33" s="448"/>
      <c r="EJ33" s="448"/>
      <c r="EK33" s="448"/>
      <c r="EL33" s="448"/>
      <c r="EM33" s="448"/>
      <c r="EN33" s="448"/>
      <c r="EO33" s="448"/>
      <c r="EP33" s="448"/>
      <c r="EQ33" s="448"/>
      <c r="ER33" s="448"/>
      <c r="ES33" s="448"/>
      <c r="ET33" s="448"/>
      <c r="EU33" s="448"/>
      <c r="EV33" s="448"/>
      <c r="EW33" s="448"/>
      <c r="EX33" s="448"/>
      <c r="EY33" s="448"/>
      <c r="EZ33" s="448"/>
      <c r="FA33" s="448"/>
      <c r="FB33" s="448"/>
      <c r="FC33" s="448"/>
      <c r="FD33" s="448"/>
      <c r="FE33" s="448"/>
      <c r="FF33" s="448"/>
      <c r="FG33" s="448"/>
      <c r="FH33" s="448"/>
      <c r="FI33" s="448"/>
      <c r="FJ33" s="448"/>
      <c r="FK33" s="448"/>
      <c r="FL33" s="448"/>
      <c r="FM33" s="448"/>
      <c r="FN33" s="448"/>
      <c r="FO33" s="448"/>
      <c r="FP33" s="448"/>
      <c r="FQ33" s="448"/>
      <c r="FR33" s="448"/>
      <c r="FS33" s="448"/>
      <c r="FT33" s="448"/>
      <c r="FU33" s="448"/>
      <c r="FV33" s="448"/>
      <c r="FW33" s="448"/>
      <c r="FX33" s="448"/>
      <c r="FY33" s="448"/>
      <c r="FZ33" s="448"/>
      <c r="GA33" s="448"/>
      <c r="GB33" s="448"/>
      <c r="GC33" s="448"/>
      <c r="GD33" s="448"/>
      <c r="GE33" s="448"/>
      <c r="GF33" s="448"/>
      <c r="GG33" s="448"/>
      <c r="GH33" s="448"/>
      <c r="GI33" s="448"/>
      <c r="GJ33" s="448"/>
      <c r="GK33" s="448"/>
      <c r="GL33" s="448"/>
      <c r="GM33" s="448"/>
      <c r="GN33" s="448"/>
      <c r="GO33" s="448"/>
      <c r="GP33" s="448"/>
      <c r="GQ33" s="448"/>
      <c r="GR33" s="448"/>
      <c r="GS33" s="448"/>
      <c r="GT33" s="448"/>
      <c r="GU33" s="448"/>
      <c r="GV33" s="448"/>
      <c r="GW33" s="448"/>
      <c r="GX33" s="448"/>
      <c r="GY33" s="448"/>
      <c r="GZ33" s="448"/>
      <c r="HA33" s="448"/>
      <c r="HB33" s="448"/>
      <c r="HC33" s="448"/>
      <c r="HD33" s="448"/>
      <c r="HE33" s="448"/>
      <c r="HF33" s="448"/>
      <c r="HG33" s="448"/>
      <c r="HH33" s="448"/>
      <c r="HI33" s="448"/>
      <c r="HJ33" s="448"/>
      <c r="HK33" s="448"/>
      <c r="HL33" s="448"/>
      <c r="HM33" s="448"/>
      <c r="HN33" s="448"/>
      <c r="HO33" s="448"/>
      <c r="HP33" s="448"/>
      <c r="HQ33" s="448"/>
      <c r="HR33" s="448"/>
      <c r="HS33" s="448"/>
      <c r="HT33" s="448"/>
      <c r="HU33" s="448"/>
      <c r="HV33" s="448"/>
      <c r="HW33" s="448"/>
      <c r="HX33" s="448"/>
      <c r="HY33" s="448"/>
      <c r="HZ33" s="448"/>
      <c r="IA33" s="448"/>
      <c r="IB33" s="448"/>
      <c r="IC33" s="448"/>
      <c r="ID33" s="448"/>
      <c r="IE33" s="448"/>
      <c r="IF33" s="448"/>
      <c r="IG33" s="448"/>
      <c r="IH33" s="448"/>
      <c r="II33" s="448"/>
      <c r="IJ33" s="448"/>
      <c r="IK33" s="448"/>
      <c r="IL33" s="448"/>
      <c r="IM33" s="448"/>
      <c r="IN33" s="448"/>
      <c r="IO33" s="448"/>
      <c r="IP33" s="448"/>
      <c r="IQ33" s="448"/>
      <c r="IR33" s="448"/>
      <c r="IS33" s="448"/>
      <c r="IT33" s="448"/>
      <c r="IU33" s="448"/>
    </row>
    <row r="34" spans="1:255" s="38" customFormat="1" ht="15.75" thickBot="1">
      <c r="A34" s="4"/>
      <c r="B34" s="5"/>
      <c r="C34" s="26"/>
      <c r="D34" s="126" t="s">
        <v>13</v>
      </c>
      <c r="E34" s="118">
        <f>IF(AND(D2="",Kod!$A$7="ja"),SUM(E31:E33),"")</f>
        <v>128.121</v>
      </c>
      <c r="F34" s="63">
        <f>IF(AND($M$17&lt;&gt;"FEL",AND($D$2="",Kod!$A$7="ja"),$M$33&lt;&gt;"FEL"),SUM(F31:F33),IF(J34&lt;0,"-",""))</f>
        <v>123.91734315378322</v>
      </c>
      <c r="G34" s="63">
        <f>IF(AND($M$17&lt;&gt;"FEL",AND($D$2="",Kod!$A$7="ja"),$M$33&lt;&gt;"FEL"),SUM(G31:G33),IF(K34&lt;0,"-",""))</f>
        <v>117.36041379006281</v>
      </c>
      <c r="H34" s="143">
        <f>IF(AND($M$17&lt;&gt;"FEL",AND($D$2="",Kod!$A$7="ja"),$M$33&lt;&gt;"FEL"),SUM(H31:H33),IF(L34&lt;0,"-",""))</f>
        <v>107.99794561715113</v>
      </c>
      <c r="I34" s="81"/>
      <c r="J34" s="144">
        <f>SUM(J31:J33)</f>
        <v>123.91734315378322</v>
      </c>
      <c r="K34" s="144">
        <f>SUM(K31:K33)</f>
        <v>117.36041379006281</v>
      </c>
      <c r="L34" s="144">
        <f>SUM(L31:L33)</f>
        <v>107.99794561715113</v>
      </c>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448"/>
      <c r="BS34" s="448"/>
      <c r="BT34" s="448"/>
      <c r="BU34" s="448"/>
      <c r="BV34" s="448"/>
      <c r="BW34" s="448"/>
      <c r="BX34" s="448"/>
      <c r="BY34" s="448"/>
      <c r="BZ34" s="448"/>
      <c r="CA34" s="448"/>
      <c r="CB34" s="448"/>
      <c r="CC34" s="448"/>
      <c r="CD34" s="448"/>
      <c r="CE34" s="448"/>
      <c r="CF34" s="448"/>
      <c r="CG34" s="448"/>
      <c r="CH34" s="448"/>
      <c r="CI34" s="448"/>
      <c r="CJ34" s="448"/>
      <c r="CK34" s="448"/>
      <c r="CL34" s="448"/>
      <c r="CM34" s="448"/>
      <c r="CN34" s="448"/>
      <c r="CO34" s="448"/>
      <c r="CP34" s="448"/>
      <c r="CQ34" s="448"/>
      <c r="CR34" s="448"/>
      <c r="CS34" s="448"/>
      <c r="CT34" s="448"/>
      <c r="CU34" s="448"/>
      <c r="CV34" s="448"/>
      <c r="CW34" s="448"/>
      <c r="CX34" s="448"/>
      <c r="CY34" s="448"/>
      <c r="CZ34" s="448"/>
      <c r="DA34" s="448"/>
      <c r="DB34" s="448"/>
      <c r="DC34" s="448"/>
      <c r="DD34" s="448"/>
      <c r="DE34" s="448"/>
      <c r="DF34" s="448"/>
      <c r="DG34" s="448"/>
      <c r="DH34" s="448"/>
      <c r="DI34" s="448"/>
      <c r="DJ34" s="448"/>
      <c r="DK34" s="448"/>
      <c r="DL34" s="448"/>
      <c r="DM34" s="448"/>
      <c r="DN34" s="448"/>
      <c r="DO34" s="448"/>
      <c r="DP34" s="448"/>
      <c r="DQ34" s="448"/>
      <c r="DR34" s="448"/>
      <c r="DS34" s="448"/>
      <c r="DT34" s="448"/>
      <c r="DU34" s="448"/>
      <c r="DV34" s="448"/>
      <c r="DW34" s="448"/>
      <c r="DX34" s="448"/>
      <c r="DY34" s="448"/>
      <c r="DZ34" s="448"/>
      <c r="EA34" s="448"/>
      <c r="EB34" s="448"/>
      <c r="EC34" s="448"/>
      <c r="ED34" s="448"/>
      <c r="EE34" s="448"/>
      <c r="EF34" s="448"/>
      <c r="EG34" s="448"/>
      <c r="EH34" s="448"/>
      <c r="EI34" s="448"/>
      <c r="EJ34" s="448"/>
      <c r="EK34" s="448"/>
      <c r="EL34" s="448"/>
      <c r="EM34" s="448"/>
      <c r="EN34" s="448"/>
      <c r="EO34" s="448"/>
      <c r="EP34" s="448"/>
      <c r="EQ34" s="448"/>
      <c r="ER34" s="448"/>
      <c r="ES34" s="448"/>
      <c r="ET34" s="448"/>
      <c r="EU34" s="448"/>
      <c r="EV34" s="448"/>
      <c r="EW34" s="448"/>
      <c r="EX34" s="448"/>
      <c r="EY34" s="448"/>
      <c r="EZ34" s="448"/>
      <c r="FA34" s="448"/>
      <c r="FB34" s="448"/>
      <c r="FC34" s="448"/>
      <c r="FD34" s="448"/>
      <c r="FE34" s="448"/>
      <c r="FF34" s="448"/>
      <c r="FG34" s="448"/>
      <c r="FH34" s="448"/>
      <c r="FI34" s="448"/>
      <c r="FJ34" s="448"/>
      <c r="FK34" s="448"/>
      <c r="FL34" s="448"/>
      <c r="FM34" s="448"/>
      <c r="FN34" s="448"/>
      <c r="FO34" s="448"/>
      <c r="FP34" s="448"/>
      <c r="FQ34" s="448"/>
      <c r="FR34" s="448"/>
      <c r="FS34" s="448"/>
      <c r="FT34" s="448"/>
      <c r="FU34" s="448"/>
      <c r="FV34" s="448"/>
      <c r="FW34" s="448"/>
      <c r="FX34" s="448"/>
      <c r="FY34" s="448"/>
      <c r="FZ34" s="448"/>
      <c r="GA34" s="448"/>
      <c r="GB34" s="448"/>
      <c r="GC34" s="448"/>
      <c r="GD34" s="448"/>
      <c r="GE34" s="448"/>
      <c r="GF34" s="448"/>
      <c r="GG34" s="448"/>
      <c r="GH34" s="448"/>
      <c r="GI34" s="448"/>
      <c r="GJ34" s="448"/>
      <c r="GK34" s="448"/>
      <c r="GL34" s="448"/>
      <c r="GM34" s="448"/>
      <c r="GN34" s="448"/>
      <c r="GO34" s="448"/>
      <c r="GP34" s="448"/>
      <c r="GQ34" s="448"/>
      <c r="GR34" s="448"/>
      <c r="GS34" s="448"/>
      <c r="GT34" s="448"/>
      <c r="GU34" s="448"/>
      <c r="GV34" s="448"/>
      <c r="GW34" s="448"/>
      <c r="GX34" s="448"/>
      <c r="GY34" s="448"/>
      <c r="GZ34" s="448"/>
      <c r="HA34" s="448"/>
      <c r="HB34" s="448"/>
      <c r="HC34" s="448"/>
      <c r="HD34" s="448"/>
      <c r="HE34" s="448"/>
      <c r="HF34" s="448"/>
      <c r="HG34" s="448"/>
      <c r="HH34" s="448"/>
      <c r="HI34" s="448"/>
      <c r="HJ34" s="448"/>
      <c r="HK34" s="448"/>
      <c r="HL34" s="448"/>
      <c r="HM34" s="448"/>
      <c r="HN34" s="448"/>
      <c r="HO34" s="448"/>
      <c r="HP34" s="448"/>
      <c r="HQ34" s="448"/>
      <c r="HR34" s="448"/>
      <c r="HS34" s="448"/>
      <c r="HT34" s="448"/>
      <c r="HU34" s="448"/>
      <c r="HV34" s="448"/>
      <c r="HW34" s="448"/>
      <c r="HX34" s="448"/>
      <c r="HY34" s="448"/>
      <c r="HZ34" s="448"/>
      <c r="IA34" s="448"/>
      <c r="IB34" s="448"/>
      <c r="IC34" s="448"/>
      <c r="ID34" s="448"/>
      <c r="IE34" s="448"/>
      <c r="IF34" s="448"/>
      <c r="IG34" s="448"/>
      <c r="IH34" s="448"/>
      <c r="II34" s="448"/>
      <c r="IJ34" s="448"/>
      <c r="IK34" s="448"/>
      <c r="IL34" s="448"/>
      <c r="IM34" s="448"/>
      <c r="IN34" s="448"/>
      <c r="IO34" s="448"/>
      <c r="IP34" s="448"/>
      <c r="IQ34" s="448"/>
      <c r="IR34" s="448"/>
      <c r="IS34" s="448"/>
      <c r="IT34" s="448"/>
      <c r="IU34" s="448"/>
    </row>
    <row r="35" spans="1:255" s="38" customFormat="1" ht="15.75" thickBot="1">
      <c r="A35" s="4"/>
      <c r="B35" s="5"/>
      <c r="C35" s="26"/>
      <c r="D35" s="54"/>
      <c r="E35" s="54"/>
      <c r="F35" s="54"/>
      <c r="G35" s="54"/>
      <c r="H35" s="54"/>
      <c r="I35" s="40"/>
      <c r="J35" s="40"/>
      <c r="K35" s="40"/>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c r="BA35" s="448"/>
      <c r="BB35" s="448"/>
      <c r="BC35" s="448"/>
      <c r="BD35" s="448"/>
      <c r="BE35" s="448"/>
      <c r="BF35" s="448"/>
      <c r="BG35" s="448"/>
      <c r="BH35" s="448"/>
      <c r="BI35" s="448"/>
      <c r="BJ35" s="448"/>
      <c r="BK35" s="448"/>
      <c r="BL35" s="448"/>
      <c r="BM35" s="448"/>
      <c r="BN35" s="448"/>
      <c r="BO35" s="448"/>
      <c r="BP35" s="448"/>
      <c r="BQ35" s="448"/>
      <c r="BR35" s="448"/>
      <c r="BS35" s="448"/>
      <c r="BT35" s="448"/>
      <c r="BU35" s="448"/>
      <c r="BV35" s="448"/>
      <c r="BW35" s="448"/>
      <c r="BX35" s="448"/>
      <c r="BY35" s="448"/>
      <c r="BZ35" s="448"/>
      <c r="CA35" s="448"/>
      <c r="CB35" s="448"/>
      <c r="CC35" s="448"/>
      <c r="CD35" s="448"/>
      <c r="CE35" s="448"/>
      <c r="CF35" s="448"/>
      <c r="CG35" s="448"/>
      <c r="CH35" s="448"/>
      <c r="CI35" s="448"/>
      <c r="CJ35" s="448"/>
      <c r="CK35" s="448"/>
      <c r="CL35" s="448"/>
      <c r="CM35" s="448"/>
      <c r="CN35" s="448"/>
      <c r="CO35" s="448"/>
      <c r="CP35" s="448"/>
      <c r="CQ35" s="448"/>
      <c r="CR35" s="448"/>
      <c r="CS35" s="448"/>
      <c r="CT35" s="448"/>
      <c r="CU35" s="448"/>
      <c r="CV35" s="448"/>
      <c r="CW35" s="448"/>
      <c r="CX35" s="448"/>
      <c r="CY35" s="448"/>
      <c r="CZ35" s="448"/>
      <c r="DA35" s="448"/>
      <c r="DB35" s="448"/>
      <c r="DC35" s="448"/>
      <c r="DD35" s="448"/>
      <c r="DE35" s="448"/>
      <c r="DF35" s="448"/>
      <c r="DG35" s="448"/>
      <c r="DH35" s="448"/>
      <c r="DI35" s="448"/>
      <c r="DJ35" s="448"/>
      <c r="DK35" s="448"/>
      <c r="DL35" s="448"/>
      <c r="DM35" s="448"/>
      <c r="DN35" s="448"/>
      <c r="DO35" s="448"/>
      <c r="DP35" s="448"/>
      <c r="DQ35" s="448"/>
      <c r="DR35" s="448"/>
      <c r="DS35" s="448"/>
      <c r="DT35" s="448"/>
      <c r="DU35" s="448"/>
      <c r="DV35" s="448"/>
      <c r="DW35" s="448"/>
      <c r="DX35" s="448"/>
      <c r="DY35" s="448"/>
      <c r="DZ35" s="448"/>
      <c r="EA35" s="448"/>
      <c r="EB35" s="448"/>
      <c r="EC35" s="448"/>
      <c r="ED35" s="448"/>
      <c r="EE35" s="448"/>
      <c r="EF35" s="448"/>
      <c r="EG35" s="448"/>
      <c r="EH35" s="448"/>
      <c r="EI35" s="448"/>
      <c r="EJ35" s="448"/>
      <c r="EK35" s="448"/>
      <c r="EL35" s="448"/>
      <c r="EM35" s="448"/>
      <c r="EN35" s="448"/>
      <c r="EO35" s="448"/>
      <c r="EP35" s="448"/>
      <c r="EQ35" s="448"/>
      <c r="ER35" s="448"/>
      <c r="ES35" s="448"/>
      <c r="ET35" s="448"/>
      <c r="EU35" s="448"/>
      <c r="EV35" s="448"/>
      <c r="EW35" s="448"/>
      <c r="EX35" s="448"/>
      <c r="EY35" s="448"/>
      <c r="EZ35" s="448"/>
      <c r="FA35" s="448"/>
      <c r="FB35" s="448"/>
      <c r="FC35" s="448"/>
      <c r="FD35" s="448"/>
      <c r="FE35" s="448"/>
      <c r="FF35" s="448"/>
      <c r="FG35" s="448"/>
      <c r="FH35" s="448"/>
      <c r="FI35" s="448"/>
      <c r="FJ35" s="448"/>
      <c r="FK35" s="448"/>
      <c r="FL35" s="448"/>
      <c r="FM35" s="448"/>
      <c r="FN35" s="448"/>
      <c r="FO35" s="448"/>
      <c r="FP35" s="448"/>
      <c r="FQ35" s="448"/>
      <c r="FR35" s="448"/>
      <c r="FS35" s="448"/>
      <c r="FT35" s="448"/>
      <c r="FU35" s="448"/>
      <c r="FV35" s="448"/>
      <c r="FW35" s="448"/>
      <c r="FX35" s="448"/>
      <c r="FY35" s="448"/>
      <c r="FZ35" s="448"/>
      <c r="GA35" s="448"/>
      <c r="GB35" s="448"/>
      <c r="GC35" s="448"/>
      <c r="GD35" s="448"/>
      <c r="GE35" s="448"/>
      <c r="GF35" s="448"/>
      <c r="GG35" s="448"/>
      <c r="GH35" s="448"/>
      <c r="GI35" s="448"/>
      <c r="GJ35" s="448"/>
      <c r="GK35" s="448"/>
      <c r="GL35" s="448"/>
      <c r="GM35" s="448"/>
      <c r="GN35" s="448"/>
      <c r="GO35" s="448"/>
      <c r="GP35" s="448"/>
      <c r="GQ35" s="448"/>
      <c r="GR35" s="448"/>
      <c r="GS35" s="448"/>
      <c r="GT35" s="448"/>
      <c r="GU35" s="448"/>
      <c r="GV35" s="448"/>
      <c r="GW35" s="448"/>
      <c r="GX35" s="448"/>
      <c r="GY35" s="448"/>
      <c r="GZ35" s="448"/>
      <c r="HA35" s="448"/>
      <c r="HB35" s="448"/>
      <c r="HC35" s="448"/>
      <c r="HD35" s="448"/>
      <c r="HE35" s="448"/>
      <c r="HF35" s="448"/>
      <c r="HG35" s="448"/>
      <c r="HH35" s="448"/>
      <c r="HI35" s="448"/>
      <c r="HJ35" s="448"/>
      <c r="HK35" s="448"/>
      <c r="HL35" s="448"/>
      <c r="HM35" s="448"/>
      <c r="HN35" s="448"/>
      <c r="HO35" s="448"/>
      <c r="HP35" s="448"/>
      <c r="HQ35" s="448"/>
      <c r="HR35" s="448"/>
      <c r="HS35" s="448"/>
      <c r="HT35" s="448"/>
      <c r="HU35" s="448"/>
      <c r="HV35" s="448"/>
      <c r="HW35" s="448"/>
      <c r="HX35" s="448"/>
      <c r="HY35" s="448"/>
      <c r="HZ35" s="448"/>
      <c r="IA35" s="448"/>
      <c r="IB35" s="448"/>
      <c r="IC35" s="448"/>
      <c r="ID35" s="448"/>
      <c r="IE35" s="448"/>
      <c r="IF35" s="448"/>
      <c r="IG35" s="448"/>
      <c r="IH35" s="448"/>
      <c r="II35" s="448"/>
      <c r="IJ35" s="448"/>
      <c r="IK35" s="448"/>
      <c r="IL35" s="448"/>
      <c r="IM35" s="448"/>
      <c r="IN35" s="448"/>
      <c r="IO35" s="448"/>
      <c r="IP35" s="448"/>
      <c r="IQ35" s="448"/>
      <c r="IR35" s="448"/>
      <c r="IS35" s="448"/>
      <c r="IT35" s="448"/>
      <c r="IU35" s="448"/>
    </row>
    <row r="36" spans="1:255" s="38" customFormat="1" ht="26.25" customHeight="1" thickBot="1">
      <c r="A36" s="4"/>
      <c r="B36" s="5"/>
      <c r="C36" s="26"/>
      <c r="D36" s="135" t="s">
        <v>44</v>
      </c>
      <c r="E36" s="119" t="str">
        <f>IF(AND(D2="",Kod!$A$7="ja"),(IF((E34-'3 Förutsättningar'!$F$23*'3 Förutsättningar'!$F$14/1000)&gt;0,CONCATENATE("+",ROUND(E34-'3 Förutsättningar'!$F$23*'3 Förutsättningar'!$F$14/1000,0)),ROUND(E34-'3 Förutsättningar'!$F$23*'3 Förutsättningar'!$F$14/1000,0))),"")</f>
        <v>+18</v>
      </c>
      <c r="F36" s="53" t="str">
        <f>IF(AND($M$17&lt;&gt;"FEL",AND(D2="",Kod!$A$7="ja"),$M$33&lt;&gt;"FEL"),(IF((F34-'3 Förutsättningar'!$F$23*'3 Förutsättningar'!$F$14/1000)&gt;0,CONCATENATE("+",ROUND(F34-'3 Förutsättningar'!$F$23*'3 Förutsättningar'!$F$14/1000,0)),ROUND(F34-'3 Förutsättningar'!$F$23*'3 Förutsättningar'!$F$14/1000,0))),"")</f>
        <v>+14</v>
      </c>
      <c r="G36" s="53" t="str">
        <f>IF(AND($M$17&lt;&gt;"FEL",AND(D2="",Kod!$A$7="ja"),$M$33&lt;&gt;"FEL"),(IF((G34-'3 Förutsättningar'!$F$23*'3 Förutsättningar'!$F$14/1000)&gt;0,CONCATENATE("+",ROUND(G34-'3 Förutsättningar'!$F$23*'3 Förutsättningar'!$F$14/1000,0)),ROUND(G34-'3 Förutsättningar'!$F$23*'3 Förutsättningar'!$F$14/1000,0))),"")</f>
        <v>+8</v>
      </c>
      <c r="H36" s="108">
        <f>IF(AND($M$17&lt;&gt;"FEL",AND(D2="",Kod!$A$7="ja"),$M$33&lt;&gt;"FEL"),(IF((H34-'3 Förutsättningar'!$F$23*'3 Förutsättningar'!$F$14/1000)&gt;0,CONCATENATE("+",ROUND(H34-'3 Förutsättningar'!$F$23*'3 Förutsättningar'!$F$14/1000,0)),ROUND(H34-'3 Förutsättningar'!$F$23*'3 Förutsättningar'!$F$14/1000,0))),"")</f>
        <v>-2</v>
      </c>
      <c r="I36" s="40"/>
      <c r="J36" s="40"/>
      <c r="K36" s="40"/>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8"/>
      <c r="AY36" s="448"/>
      <c r="AZ36" s="448"/>
      <c r="BA36" s="448"/>
      <c r="BB36" s="448"/>
      <c r="BC36" s="448"/>
      <c r="BD36" s="448"/>
      <c r="BE36" s="448"/>
      <c r="BF36" s="448"/>
      <c r="BG36" s="448"/>
      <c r="BH36" s="448"/>
      <c r="BI36" s="448"/>
      <c r="BJ36" s="448"/>
      <c r="BK36" s="448"/>
      <c r="BL36" s="448"/>
      <c r="BM36" s="448"/>
      <c r="BN36" s="448"/>
      <c r="BO36" s="448"/>
      <c r="BP36" s="448"/>
      <c r="BQ36" s="448"/>
      <c r="BR36" s="448"/>
      <c r="BS36" s="448"/>
      <c r="BT36" s="448"/>
      <c r="BU36" s="448"/>
      <c r="BV36" s="448"/>
      <c r="BW36" s="448"/>
      <c r="BX36" s="448"/>
      <c r="BY36" s="448"/>
      <c r="BZ36" s="448"/>
      <c r="CA36" s="448"/>
      <c r="CB36" s="448"/>
      <c r="CC36" s="448"/>
      <c r="CD36" s="448"/>
      <c r="CE36" s="448"/>
      <c r="CF36" s="448"/>
      <c r="CG36" s="448"/>
      <c r="CH36" s="448"/>
      <c r="CI36" s="448"/>
      <c r="CJ36" s="448"/>
      <c r="CK36" s="448"/>
      <c r="CL36" s="448"/>
      <c r="CM36" s="448"/>
      <c r="CN36" s="448"/>
      <c r="CO36" s="448"/>
      <c r="CP36" s="448"/>
      <c r="CQ36" s="448"/>
      <c r="CR36" s="448"/>
      <c r="CS36" s="448"/>
      <c r="CT36" s="448"/>
      <c r="CU36" s="448"/>
      <c r="CV36" s="448"/>
      <c r="CW36" s="448"/>
      <c r="CX36" s="448"/>
      <c r="CY36" s="448"/>
      <c r="CZ36" s="448"/>
      <c r="DA36" s="448"/>
      <c r="DB36" s="448"/>
      <c r="DC36" s="448"/>
      <c r="DD36" s="448"/>
      <c r="DE36" s="448"/>
      <c r="DF36" s="448"/>
      <c r="DG36" s="448"/>
      <c r="DH36" s="448"/>
      <c r="DI36" s="448"/>
      <c r="DJ36" s="448"/>
      <c r="DK36" s="448"/>
      <c r="DL36" s="448"/>
      <c r="DM36" s="448"/>
      <c r="DN36" s="448"/>
      <c r="DO36" s="448"/>
      <c r="DP36" s="448"/>
      <c r="DQ36" s="448"/>
      <c r="DR36" s="448"/>
      <c r="DS36" s="448"/>
      <c r="DT36" s="448"/>
      <c r="DU36" s="448"/>
      <c r="DV36" s="448"/>
      <c r="DW36" s="448"/>
      <c r="DX36" s="448"/>
      <c r="DY36" s="448"/>
      <c r="DZ36" s="448"/>
      <c r="EA36" s="448"/>
      <c r="EB36" s="448"/>
      <c r="EC36" s="448"/>
      <c r="ED36" s="448"/>
      <c r="EE36" s="448"/>
      <c r="EF36" s="448"/>
      <c r="EG36" s="448"/>
      <c r="EH36" s="448"/>
      <c r="EI36" s="448"/>
      <c r="EJ36" s="448"/>
      <c r="EK36" s="448"/>
      <c r="EL36" s="448"/>
      <c r="EM36" s="448"/>
      <c r="EN36" s="448"/>
      <c r="EO36" s="448"/>
      <c r="EP36" s="448"/>
      <c r="EQ36" s="448"/>
      <c r="ER36" s="448"/>
      <c r="ES36" s="448"/>
      <c r="ET36" s="448"/>
      <c r="EU36" s="448"/>
      <c r="EV36" s="448"/>
      <c r="EW36" s="448"/>
      <c r="EX36" s="448"/>
      <c r="EY36" s="448"/>
      <c r="EZ36" s="448"/>
      <c r="FA36" s="448"/>
      <c r="FB36" s="448"/>
      <c r="FC36" s="448"/>
      <c r="FD36" s="448"/>
      <c r="FE36" s="448"/>
      <c r="FF36" s="448"/>
      <c r="FG36" s="448"/>
      <c r="FH36" s="448"/>
      <c r="FI36" s="448"/>
      <c r="FJ36" s="448"/>
      <c r="FK36" s="448"/>
      <c r="FL36" s="448"/>
      <c r="FM36" s="448"/>
      <c r="FN36" s="448"/>
      <c r="FO36" s="448"/>
      <c r="FP36" s="448"/>
      <c r="FQ36" s="448"/>
      <c r="FR36" s="448"/>
      <c r="FS36" s="448"/>
      <c r="FT36" s="448"/>
      <c r="FU36" s="448"/>
      <c r="FV36" s="448"/>
      <c r="FW36" s="448"/>
      <c r="FX36" s="448"/>
      <c r="FY36" s="448"/>
      <c r="FZ36" s="448"/>
      <c r="GA36" s="448"/>
      <c r="GB36" s="448"/>
      <c r="GC36" s="448"/>
      <c r="GD36" s="448"/>
      <c r="GE36" s="448"/>
      <c r="GF36" s="448"/>
      <c r="GG36" s="448"/>
      <c r="GH36" s="448"/>
      <c r="GI36" s="448"/>
      <c r="GJ36" s="448"/>
      <c r="GK36" s="448"/>
      <c r="GL36" s="448"/>
      <c r="GM36" s="448"/>
      <c r="GN36" s="448"/>
      <c r="GO36" s="448"/>
      <c r="GP36" s="448"/>
      <c r="GQ36" s="448"/>
      <c r="GR36" s="448"/>
      <c r="GS36" s="448"/>
      <c r="GT36" s="448"/>
      <c r="GU36" s="448"/>
      <c r="GV36" s="448"/>
      <c r="GW36" s="448"/>
      <c r="GX36" s="448"/>
      <c r="GY36" s="448"/>
      <c r="GZ36" s="448"/>
      <c r="HA36" s="448"/>
      <c r="HB36" s="448"/>
      <c r="HC36" s="448"/>
      <c r="HD36" s="448"/>
      <c r="HE36" s="448"/>
      <c r="HF36" s="448"/>
      <c r="HG36" s="448"/>
      <c r="HH36" s="448"/>
      <c r="HI36" s="448"/>
      <c r="HJ36" s="448"/>
      <c r="HK36" s="448"/>
      <c r="HL36" s="448"/>
      <c r="HM36" s="448"/>
      <c r="HN36" s="448"/>
      <c r="HO36" s="448"/>
      <c r="HP36" s="448"/>
      <c r="HQ36" s="448"/>
      <c r="HR36" s="448"/>
      <c r="HS36" s="448"/>
      <c r="HT36" s="448"/>
      <c r="HU36" s="448"/>
      <c r="HV36" s="448"/>
      <c r="HW36" s="448"/>
      <c r="HX36" s="448"/>
      <c r="HY36" s="448"/>
      <c r="HZ36" s="448"/>
      <c r="IA36" s="448"/>
      <c r="IB36" s="448"/>
      <c r="IC36" s="448"/>
      <c r="ID36" s="448"/>
      <c r="IE36" s="448"/>
      <c r="IF36" s="448"/>
      <c r="IG36" s="448"/>
      <c r="IH36" s="448"/>
      <c r="II36" s="448"/>
      <c r="IJ36" s="448"/>
      <c r="IK36" s="448"/>
      <c r="IL36" s="448"/>
      <c r="IM36" s="448"/>
      <c r="IN36" s="448"/>
      <c r="IO36" s="448"/>
      <c r="IP36" s="448"/>
      <c r="IQ36" s="448"/>
      <c r="IR36" s="448"/>
      <c r="IS36" s="448"/>
      <c r="IT36" s="448"/>
      <c r="IU36" s="448"/>
    </row>
    <row r="37" spans="1:255" s="38" customFormat="1" ht="15">
      <c r="A37" s="4"/>
      <c r="B37" s="5"/>
      <c r="C37" s="26"/>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8"/>
      <c r="BF37" s="448"/>
      <c r="BG37" s="448"/>
      <c r="BH37" s="448"/>
      <c r="BI37" s="448"/>
      <c r="BJ37" s="448"/>
      <c r="BK37" s="448"/>
      <c r="BL37" s="448"/>
      <c r="BM37" s="448"/>
      <c r="BN37" s="448"/>
      <c r="BO37" s="448"/>
      <c r="BP37" s="448"/>
      <c r="BQ37" s="448"/>
      <c r="BR37" s="448"/>
      <c r="BS37" s="448"/>
      <c r="BT37" s="448"/>
      <c r="BU37" s="448"/>
      <c r="BV37" s="448"/>
      <c r="BW37" s="448"/>
      <c r="BX37" s="448"/>
      <c r="BY37" s="448"/>
      <c r="BZ37" s="448"/>
      <c r="CA37" s="448"/>
      <c r="CB37" s="448"/>
      <c r="CC37" s="448"/>
      <c r="CD37" s="448"/>
      <c r="CE37" s="448"/>
      <c r="CF37" s="448"/>
      <c r="CG37" s="448"/>
      <c r="CH37" s="448"/>
      <c r="CI37" s="448"/>
      <c r="CJ37" s="448"/>
      <c r="CK37" s="448"/>
      <c r="CL37" s="448"/>
      <c r="CM37" s="448"/>
      <c r="CN37" s="448"/>
      <c r="CO37" s="448"/>
      <c r="CP37" s="448"/>
      <c r="CQ37" s="448"/>
      <c r="CR37" s="448"/>
      <c r="CS37" s="448"/>
      <c r="CT37" s="448"/>
      <c r="CU37" s="448"/>
      <c r="CV37" s="448"/>
      <c r="CW37" s="448"/>
      <c r="CX37" s="448"/>
      <c r="CY37" s="448"/>
      <c r="CZ37" s="448"/>
      <c r="DA37" s="448"/>
      <c r="DB37" s="448"/>
      <c r="DC37" s="448"/>
      <c r="DD37" s="448"/>
      <c r="DE37" s="448"/>
      <c r="DF37" s="448"/>
      <c r="DG37" s="448"/>
      <c r="DH37" s="448"/>
      <c r="DI37" s="448"/>
      <c r="DJ37" s="448"/>
      <c r="DK37" s="448"/>
      <c r="DL37" s="448"/>
      <c r="DM37" s="448"/>
      <c r="DN37" s="448"/>
      <c r="DO37" s="448"/>
      <c r="DP37" s="448"/>
      <c r="DQ37" s="448"/>
      <c r="DR37" s="448"/>
      <c r="DS37" s="448"/>
      <c r="DT37" s="448"/>
      <c r="DU37" s="448"/>
      <c r="DV37" s="448"/>
      <c r="DW37" s="448"/>
      <c r="DX37" s="448"/>
      <c r="DY37" s="448"/>
      <c r="DZ37" s="448"/>
      <c r="EA37" s="448"/>
      <c r="EB37" s="448"/>
      <c r="EC37" s="448"/>
      <c r="ED37" s="448"/>
      <c r="EE37" s="448"/>
      <c r="EF37" s="448"/>
      <c r="EG37" s="448"/>
      <c r="EH37" s="448"/>
      <c r="EI37" s="448"/>
      <c r="EJ37" s="448"/>
      <c r="EK37" s="448"/>
      <c r="EL37" s="448"/>
      <c r="EM37" s="448"/>
      <c r="EN37" s="448"/>
      <c r="EO37" s="448"/>
      <c r="EP37" s="448"/>
      <c r="EQ37" s="448"/>
      <c r="ER37" s="448"/>
      <c r="ES37" s="448"/>
      <c r="ET37" s="448"/>
      <c r="EU37" s="448"/>
      <c r="EV37" s="448"/>
      <c r="EW37" s="448"/>
      <c r="EX37" s="448"/>
      <c r="EY37" s="448"/>
      <c r="EZ37" s="448"/>
      <c r="FA37" s="448"/>
      <c r="FB37" s="448"/>
      <c r="FC37" s="448"/>
      <c r="FD37" s="448"/>
      <c r="FE37" s="448"/>
      <c r="FF37" s="448"/>
      <c r="FG37" s="448"/>
      <c r="FH37" s="448"/>
      <c r="FI37" s="448"/>
      <c r="FJ37" s="448"/>
      <c r="FK37" s="448"/>
      <c r="FL37" s="448"/>
      <c r="FM37" s="448"/>
      <c r="FN37" s="448"/>
      <c r="FO37" s="448"/>
      <c r="FP37" s="448"/>
      <c r="FQ37" s="448"/>
      <c r="FR37" s="448"/>
      <c r="FS37" s="448"/>
      <c r="FT37" s="448"/>
      <c r="FU37" s="448"/>
      <c r="FV37" s="448"/>
      <c r="FW37" s="448"/>
      <c r="FX37" s="448"/>
      <c r="FY37" s="448"/>
      <c r="FZ37" s="448"/>
      <c r="GA37" s="448"/>
      <c r="GB37" s="448"/>
      <c r="GC37" s="448"/>
      <c r="GD37" s="448"/>
      <c r="GE37" s="448"/>
      <c r="GF37" s="448"/>
      <c r="GG37" s="448"/>
      <c r="GH37" s="448"/>
      <c r="GI37" s="448"/>
      <c r="GJ37" s="448"/>
      <c r="GK37" s="448"/>
      <c r="GL37" s="448"/>
      <c r="GM37" s="448"/>
      <c r="GN37" s="448"/>
      <c r="GO37" s="448"/>
      <c r="GP37" s="448"/>
      <c r="GQ37" s="448"/>
      <c r="GR37" s="448"/>
      <c r="GS37" s="448"/>
      <c r="GT37" s="448"/>
      <c r="GU37" s="448"/>
      <c r="GV37" s="448"/>
      <c r="GW37" s="448"/>
      <c r="GX37" s="448"/>
      <c r="GY37" s="448"/>
      <c r="GZ37" s="448"/>
      <c r="HA37" s="448"/>
      <c r="HB37" s="448"/>
      <c r="HC37" s="448"/>
      <c r="HD37" s="448"/>
      <c r="HE37" s="448"/>
      <c r="HF37" s="448"/>
      <c r="HG37" s="448"/>
      <c r="HH37" s="448"/>
      <c r="HI37" s="448"/>
      <c r="HJ37" s="448"/>
      <c r="HK37" s="448"/>
      <c r="HL37" s="448"/>
      <c r="HM37" s="448"/>
      <c r="HN37" s="448"/>
      <c r="HO37" s="448"/>
      <c r="HP37" s="448"/>
      <c r="HQ37" s="448"/>
      <c r="HR37" s="448"/>
      <c r="HS37" s="448"/>
      <c r="HT37" s="448"/>
      <c r="HU37" s="448"/>
      <c r="HV37" s="448"/>
      <c r="HW37" s="448"/>
      <c r="HX37" s="448"/>
      <c r="HY37" s="448"/>
      <c r="HZ37" s="448"/>
      <c r="IA37" s="448"/>
      <c r="IB37" s="448"/>
      <c r="IC37" s="448"/>
      <c r="ID37" s="448"/>
      <c r="IE37" s="448"/>
      <c r="IF37" s="448"/>
      <c r="IG37" s="448"/>
      <c r="IH37" s="448"/>
      <c r="II37" s="448"/>
      <c r="IJ37" s="448"/>
      <c r="IK37" s="448"/>
      <c r="IL37" s="448"/>
      <c r="IM37" s="448"/>
      <c r="IN37" s="448"/>
      <c r="IO37" s="448"/>
      <c r="IP37" s="448"/>
      <c r="IQ37" s="448"/>
      <c r="IR37" s="448"/>
      <c r="IS37" s="448"/>
      <c r="IT37" s="448"/>
      <c r="IU37" s="448"/>
    </row>
    <row r="38" spans="1:255" s="38" customFormat="1" ht="15">
      <c r="A38" s="4"/>
      <c r="B38" s="5"/>
      <c r="C38" s="26"/>
      <c r="D38" s="38" t="s">
        <v>120</v>
      </c>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448"/>
      <c r="BH38" s="448"/>
      <c r="BI38" s="448"/>
      <c r="BJ38" s="448"/>
      <c r="BK38" s="448"/>
      <c r="BL38" s="448"/>
      <c r="BM38" s="448"/>
      <c r="BN38" s="448"/>
      <c r="BO38" s="448"/>
      <c r="BP38" s="448"/>
      <c r="BQ38" s="448"/>
      <c r="BR38" s="448"/>
      <c r="BS38" s="448"/>
      <c r="BT38" s="448"/>
      <c r="BU38" s="448"/>
      <c r="BV38" s="448"/>
      <c r="BW38" s="448"/>
      <c r="BX38" s="448"/>
      <c r="BY38" s="448"/>
      <c r="BZ38" s="448"/>
      <c r="CA38" s="448"/>
      <c r="CB38" s="448"/>
      <c r="CC38" s="448"/>
      <c r="CD38" s="448"/>
      <c r="CE38" s="448"/>
      <c r="CF38" s="448"/>
      <c r="CG38" s="448"/>
      <c r="CH38" s="448"/>
      <c r="CI38" s="448"/>
      <c r="CJ38" s="448"/>
      <c r="CK38" s="448"/>
      <c r="CL38" s="448"/>
      <c r="CM38" s="448"/>
      <c r="CN38" s="448"/>
      <c r="CO38" s="448"/>
      <c r="CP38" s="448"/>
      <c r="CQ38" s="448"/>
      <c r="CR38" s="448"/>
      <c r="CS38" s="448"/>
      <c r="CT38" s="448"/>
      <c r="CU38" s="448"/>
      <c r="CV38" s="448"/>
      <c r="CW38" s="448"/>
      <c r="CX38" s="448"/>
      <c r="CY38" s="448"/>
      <c r="CZ38" s="448"/>
      <c r="DA38" s="448"/>
      <c r="DB38" s="448"/>
      <c r="DC38" s="448"/>
      <c r="DD38" s="448"/>
      <c r="DE38" s="448"/>
      <c r="DF38" s="448"/>
      <c r="DG38" s="448"/>
      <c r="DH38" s="448"/>
      <c r="DI38" s="448"/>
      <c r="DJ38" s="448"/>
      <c r="DK38" s="448"/>
      <c r="DL38" s="448"/>
      <c r="DM38" s="448"/>
      <c r="DN38" s="448"/>
      <c r="DO38" s="448"/>
      <c r="DP38" s="448"/>
      <c r="DQ38" s="448"/>
      <c r="DR38" s="448"/>
      <c r="DS38" s="448"/>
      <c r="DT38" s="448"/>
      <c r="DU38" s="448"/>
      <c r="DV38" s="448"/>
      <c r="DW38" s="448"/>
      <c r="DX38" s="448"/>
      <c r="DY38" s="448"/>
      <c r="DZ38" s="448"/>
      <c r="EA38" s="448"/>
      <c r="EB38" s="448"/>
      <c r="EC38" s="448"/>
      <c r="ED38" s="448"/>
      <c r="EE38" s="448"/>
      <c r="EF38" s="448"/>
      <c r="EG38" s="448"/>
      <c r="EH38" s="448"/>
      <c r="EI38" s="448"/>
      <c r="EJ38" s="448"/>
      <c r="EK38" s="448"/>
      <c r="EL38" s="448"/>
      <c r="EM38" s="448"/>
      <c r="EN38" s="448"/>
      <c r="EO38" s="448"/>
      <c r="EP38" s="448"/>
      <c r="EQ38" s="448"/>
      <c r="ER38" s="448"/>
      <c r="ES38" s="448"/>
      <c r="ET38" s="448"/>
      <c r="EU38" s="448"/>
      <c r="EV38" s="448"/>
      <c r="EW38" s="448"/>
      <c r="EX38" s="448"/>
      <c r="EY38" s="448"/>
      <c r="EZ38" s="448"/>
      <c r="FA38" s="448"/>
      <c r="FB38" s="448"/>
      <c r="FC38" s="448"/>
      <c r="FD38" s="448"/>
      <c r="FE38" s="448"/>
      <c r="FF38" s="448"/>
      <c r="FG38" s="448"/>
      <c r="FH38" s="448"/>
      <c r="FI38" s="448"/>
      <c r="FJ38" s="448"/>
      <c r="FK38" s="448"/>
      <c r="FL38" s="448"/>
      <c r="FM38" s="448"/>
      <c r="FN38" s="448"/>
      <c r="FO38" s="448"/>
      <c r="FP38" s="448"/>
      <c r="FQ38" s="448"/>
      <c r="FR38" s="448"/>
      <c r="FS38" s="448"/>
      <c r="FT38" s="448"/>
      <c r="FU38" s="448"/>
      <c r="FV38" s="448"/>
      <c r="FW38" s="448"/>
      <c r="FX38" s="448"/>
      <c r="FY38" s="448"/>
      <c r="FZ38" s="448"/>
      <c r="GA38" s="448"/>
      <c r="GB38" s="448"/>
      <c r="GC38" s="448"/>
      <c r="GD38" s="448"/>
      <c r="GE38" s="448"/>
      <c r="GF38" s="448"/>
      <c r="GG38" s="448"/>
      <c r="GH38" s="448"/>
      <c r="GI38" s="448"/>
      <c r="GJ38" s="448"/>
      <c r="GK38" s="448"/>
      <c r="GL38" s="448"/>
      <c r="GM38" s="448"/>
      <c r="GN38" s="448"/>
      <c r="GO38" s="448"/>
      <c r="GP38" s="448"/>
      <c r="GQ38" s="448"/>
      <c r="GR38" s="448"/>
      <c r="GS38" s="448"/>
      <c r="GT38" s="448"/>
      <c r="GU38" s="448"/>
      <c r="GV38" s="448"/>
      <c r="GW38" s="448"/>
      <c r="GX38" s="448"/>
      <c r="GY38" s="448"/>
      <c r="GZ38" s="448"/>
      <c r="HA38" s="448"/>
      <c r="HB38" s="448"/>
      <c r="HC38" s="448"/>
      <c r="HD38" s="448"/>
      <c r="HE38" s="448"/>
      <c r="HF38" s="448"/>
      <c r="HG38" s="448"/>
      <c r="HH38" s="448"/>
      <c r="HI38" s="448"/>
      <c r="HJ38" s="448"/>
      <c r="HK38" s="448"/>
      <c r="HL38" s="448"/>
      <c r="HM38" s="448"/>
      <c r="HN38" s="448"/>
      <c r="HO38" s="448"/>
      <c r="HP38" s="448"/>
      <c r="HQ38" s="448"/>
      <c r="HR38" s="448"/>
      <c r="HS38" s="448"/>
      <c r="HT38" s="448"/>
      <c r="HU38" s="448"/>
      <c r="HV38" s="448"/>
      <c r="HW38" s="448"/>
      <c r="HX38" s="448"/>
      <c r="HY38" s="448"/>
      <c r="HZ38" s="448"/>
      <c r="IA38" s="448"/>
      <c r="IB38" s="448"/>
      <c r="IC38" s="448"/>
      <c r="ID38" s="448"/>
      <c r="IE38" s="448"/>
      <c r="IF38" s="448"/>
      <c r="IG38" s="448"/>
      <c r="IH38" s="448"/>
      <c r="II38" s="448"/>
      <c r="IJ38" s="448"/>
      <c r="IK38" s="448"/>
      <c r="IL38" s="448"/>
      <c r="IM38" s="448"/>
      <c r="IN38" s="448"/>
      <c r="IO38" s="448"/>
      <c r="IP38" s="448"/>
      <c r="IQ38" s="448"/>
      <c r="IR38" s="448"/>
      <c r="IS38" s="448"/>
      <c r="IT38" s="448"/>
      <c r="IU38" s="448"/>
    </row>
    <row r="39" spans="1:255" s="38" customFormat="1" ht="19.5" customHeight="1">
      <c r="A39" s="4"/>
      <c r="B39" s="5"/>
      <c r="C39" s="26"/>
      <c r="D39" s="505"/>
      <c r="E39" s="506"/>
      <c r="F39" s="506"/>
      <c r="G39" s="506"/>
      <c r="H39" s="507"/>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8"/>
      <c r="BJ39" s="448"/>
      <c r="BK39" s="448"/>
      <c r="BL39" s="448"/>
      <c r="BM39" s="448"/>
      <c r="BN39" s="448"/>
      <c r="BO39" s="448"/>
      <c r="BP39" s="448"/>
      <c r="BQ39" s="448"/>
      <c r="BR39" s="448"/>
      <c r="BS39" s="448"/>
      <c r="BT39" s="448"/>
      <c r="BU39" s="448"/>
      <c r="BV39" s="448"/>
      <c r="BW39" s="448"/>
      <c r="BX39" s="448"/>
      <c r="BY39" s="448"/>
      <c r="BZ39" s="448"/>
      <c r="CA39" s="448"/>
      <c r="CB39" s="448"/>
      <c r="CC39" s="448"/>
      <c r="CD39" s="448"/>
      <c r="CE39" s="448"/>
      <c r="CF39" s="448"/>
      <c r="CG39" s="448"/>
      <c r="CH39" s="448"/>
      <c r="CI39" s="448"/>
      <c r="CJ39" s="448"/>
      <c r="CK39" s="448"/>
      <c r="CL39" s="448"/>
      <c r="CM39" s="448"/>
      <c r="CN39" s="448"/>
      <c r="CO39" s="448"/>
      <c r="CP39" s="448"/>
      <c r="CQ39" s="448"/>
      <c r="CR39" s="448"/>
      <c r="CS39" s="448"/>
      <c r="CT39" s="448"/>
      <c r="CU39" s="448"/>
      <c r="CV39" s="448"/>
      <c r="CW39" s="448"/>
      <c r="CX39" s="448"/>
      <c r="CY39" s="448"/>
      <c r="CZ39" s="448"/>
      <c r="DA39" s="448"/>
      <c r="DB39" s="448"/>
      <c r="DC39" s="448"/>
      <c r="DD39" s="448"/>
      <c r="DE39" s="448"/>
      <c r="DF39" s="448"/>
      <c r="DG39" s="448"/>
      <c r="DH39" s="448"/>
      <c r="DI39" s="448"/>
      <c r="DJ39" s="448"/>
      <c r="DK39" s="448"/>
      <c r="DL39" s="448"/>
      <c r="DM39" s="448"/>
      <c r="DN39" s="448"/>
      <c r="DO39" s="448"/>
      <c r="DP39" s="448"/>
      <c r="DQ39" s="448"/>
      <c r="DR39" s="448"/>
      <c r="DS39" s="448"/>
      <c r="DT39" s="448"/>
      <c r="DU39" s="448"/>
      <c r="DV39" s="448"/>
      <c r="DW39" s="448"/>
      <c r="DX39" s="448"/>
      <c r="DY39" s="448"/>
      <c r="DZ39" s="448"/>
      <c r="EA39" s="448"/>
      <c r="EB39" s="448"/>
      <c r="EC39" s="448"/>
      <c r="ED39" s="448"/>
      <c r="EE39" s="448"/>
      <c r="EF39" s="448"/>
      <c r="EG39" s="448"/>
      <c r="EH39" s="448"/>
      <c r="EI39" s="448"/>
      <c r="EJ39" s="448"/>
      <c r="EK39" s="448"/>
      <c r="EL39" s="448"/>
      <c r="EM39" s="448"/>
      <c r="EN39" s="448"/>
      <c r="EO39" s="448"/>
      <c r="EP39" s="448"/>
      <c r="EQ39" s="448"/>
      <c r="ER39" s="448"/>
      <c r="ES39" s="448"/>
      <c r="ET39" s="448"/>
      <c r="EU39" s="448"/>
      <c r="EV39" s="448"/>
      <c r="EW39" s="448"/>
      <c r="EX39" s="448"/>
      <c r="EY39" s="448"/>
      <c r="EZ39" s="448"/>
      <c r="FA39" s="448"/>
      <c r="FB39" s="448"/>
      <c r="FC39" s="448"/>
      <c r="FD39" s="448"/>
      <c r="FE39" s="448"/>
      <c r="FF39" s="448"/>
      <c r="FG39" s="448"/>
      <c r="FH39" s="448"/>
      <c r="FI39" s="448"/>
      <c r="FJ39" s="448"/>
      <c r="FK39" s="448"/>
      <c r="FL39" s="448"/>
      <c r="FM39" s="448"/>
      <c r="FN39" s="448"/>
      <c r="FO39" s="448"/>
      <c r="FP39" s="448"/>
      <c r="FQ39" s="448"/>
      <c r="FR39" s="448"/>
      <c r="FS39" s="448"/>
      <c r="FT39" s="448"/>
      <c r="FU39" s="448"/>
      <c r="FV39" s="448"/>
      <c r="FW39" s="448"/>
      <c r="FX39" s="448"/>
      <c r="FY39" s="448"/>
      <c r="FZ39" s="448"/>
      <c r="GA39" s="448"/>
      <c r="GB39" s="448"/>
      <c r="GC39" s="448"/>
      <c r="GD39" s="448"/>
      <c r="GE39" s="448"/>
      <c r="GF39" s="448"/>
      <c r="GG39" s="448"/>
      <c r="GH39" s="448"/>
      <c r="GI39" s="448"/>
      <c r="GJ39" s="448"/>
      <c r="GK39" s="448"/>
      <c r="GL39" s="448"/>
      <c r="GM39" s="448"/>
      <c r="GN39" s="448"/>
      <c r="GO39" s="448"/>
      <c r="GP39" s="448"/>
      <c r="GQ39" s="448"/>
      <c r="GR39" s="448"/>
      <c r="GS39" s="448"/>
      <c r="GT39" s="448"/>
      <c r="GU39" s="448"/>
      <c r="GV39" s="448"/>
      <c r="GW39" s="448"/>
      <c r="GX39" s="448"/>
      <c r="GY39" s="448"/>
      <c r="GZ39" s="448"/>
      <c r="HA39" s="448"/>
      <c r="HB39" s="448"/>
      <c r="HC39" s="448"/>
      <c r="HD39" s="448"/>
      <c r="HE39" s="448"/>
      <c r="HF39" s="448"/>
      <c r="HG39" s="448"/>
      <c r="HH39" s="448"/>
      <c r="HI39" s="448"/>
      <c r="HJ39" s="448"/>
      <c r="HK39" s="448"/>
      <c r="HL39" s="448"/>
      <c r="HM39" s="448"/>
      <c r="HN39" s="448"/>
      <c r="HO39" s="448"/>
      <c r="HP39" s="448"/>
      <c r="HQ39" s="448"/>
      <c r="HR39" s="448"/>
      <c r="HS39" s="448"/>
      <c r="HT39" s="448"/>
      <c r="HU39" s="448"/>
      <c r="HV39" s="448"/>
      <c r="HW39" s="448"/>
      <c r="HX39" s="448"/>
      <c r="HY39" s="448"/>
      <c r="HZ39" s="448"/>
      <c r="IA39" s="448"/>
      <c r="IB39" s="448"/>
      <c r="IC39" s="448"/>
      <c r="ID39" s="448"/>
      <c r="IE39" s="448"/>
      <c r="IF39" s="448"/>
      <c r="IG39" s="448"/>
      <c r="IH39" s="448"/>
      <c r="II39" s="448"/>
      <c r="IJ39" s="448"/>
      <c r="IK39" s="448"/>
      <c r="IL39" s="448"/>
      <c r="IM39" s="448"/>
      <c r="IN39" s="448"/>
      <c r="IO39" s="448"/>
      <c r="IP39" s="448"/>
      <c r="IQ39" s="448"/>
      <c r="IR39" s="448"/>
      <c r="IS39" s="448"/>
      <c r="IT39" s="448"/>
      <c r="IU39" s="448"/>
    </row>
    <row r="40" spans="1:255" s="38" customFormat="1" ht="19.5" customHeight="1">
      <c r="A40" s="4"/>
      <c r="B40" s="5"/>
      <c r="C40" s="26"/>
      <c r="D40" s="505"/>
      <c r="E40" s="506"/>
      <c r="F40" s="506"/>
      <c r="G40" s="506"/>
      <c r="H40" s="507"/>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448"/>
      <c r="BS40" s="448"/>
      <c r="BT40" s="448"/>
      <c r="BU40" s="448"/>
      <c r="BV40" s="448"/>
      <c r="BW40" s="448"/>
      <c r="BX40" s="448"/>
      <c r="BY40" s="448"/>
      <c r="BZ40" s="448"/>
      <c r="CA40" s="448"/>
      <c r="CB40" s="448"/>
      <c r="CC40" s="448"/>
      <c r="CD40" s="448"/>
      <c r="CE40" s="448"/>
      <c r="CF40" s="448"/>
      <c r="CG40" s="448"/>
      <c r="CH40" s="448"/>
      <c r="CI40" s="448"/>
      <c r="CJ40" s="448"/>
      <c r="CK40" s="448"/>
      <c r="CL40" s="448"/>
      <c r="CM40" s="448"/>
      <c r="CN40" s="448"/>
      <c r="CO40" s="448"/>
      <c r="CP40" s="448"/>
      <c r="CQ40" s="448"/>
      <c r="CR40" s="448"/>
      <c r="CS40" s="448"/>
      <c r="CT40" s="448"/>
      <c r="CU40" s="448"/>
      <c r="CV40" s="448"/>
      <c r="CW40" s="448"/>
      <c r="CX40" s="448"/>
      <c r="CY40" s="448"/>
      <c r="CZ40" s="448"/>
      <c r="DA40" s="448"/>
      <c r="DB40" s="448"/>
      <c r="DC40" s="448"/>
      <c r="DD40" s="448"/>
      <c r="DE40" s="448"/>
      <c r="DF40" s="448"/>
      <c r="DG40" s="448"/>
      <c r="DH40" s="448"/>
      <c r="DI40" s="448"/>
      <c r="DJ40" s="448"/>
      <c r="DK40" s="448"/>
      <c r="DL40" s="448"/>
      <c r="DM40" s="448"/>
      <c r="DN40" s="448"/>
      <c r="DO40" s="448"/>
      <c r="DP40" s="448"/>
      <c r="DQ40" s="448"/>
      <c r="DR40" s="448"/>
      <c r="DS40" s="448"/>
      <c r="DT40" s="448"/>
      <c r="DU40" s="448"/>
      <c r="DV40" s="448"/>
      <c r="DW40" s="448"/>
      <c r="DX40" s="448"/>
      <c r="DY40" s="448"/>
      <c r="DZ40" s="448"/>
      <c r="EA40" s="448"/>
      <c r="EB40" s="448"/>
      <c r="EC40" s="448"/>
      <c r="ED40" s="448"/>
      <c r="EE40" s="448"/>
      <c r="EF40" s="448"/>
      <c r="EG40" s="448"/>
      <c r="EH40" s="448"/>
      <c r="EI40" s="448"/>
      <c r="EJ40" s="448"/>
      <c r="EK40" s="448"/>
      <c r="EL40" s="448"/>
      <c r="EM40" s="448"/>
      <c r="EN40" s="448"/>
      <c r="EO40" s="448"/>
      <c r="EP40" s="448"/>
      <c r="EQ40" s="448"/>
      <c r="ER40" s="448"/>
      <c r="ES40" s="448"/>
      <c r="ET40" s="448"/>
      <c r="EU40" s="448"/>
      <c r="EV40" s="448"/>
      <c r="EW40" s="448"/>
      <c r="EX40" s="448"/>
      <c r="EY40" s="448"/>
      <c r="EZ40" s="448"/>
      <c r="FA40" s="448"/>
      <c r="FB40" s="448"/>
      <c r="FC40" s="448"/>
      <c r="FD40" s="448"/>
      <c r="FE40" s="448"/>
      <c r="FF40" s="448"/>
      <c r="FG40" s="448"/>
      <c r="FH40" s="448"/>
      <c r="FI40" s="448"/>
      <c r="FJ40" s="448"/>
      <c r="FK40" s="448"/>
      <c r="FL40" s="448"/>
      <c r="FM40" s="448"/>
      <c r="FN40" s="448"/>
      <c r="FO40" s="448"/>
      <c r="FP40" s="448"/>
      <c r="FQ40" s="448"/>
      <c r="FR40" s="448"/>
      <c r="FS40" s="448"/>
      <c r="FT40" s="448"/>
      <c r="FU40" s="448"/>
      <c r="FV40" s="448"/>
      <c r="FW40" s="448"/>
      <c r="FX40" s="448"/>
      <c r="FY40" s="448"/>
      <c r="FZ40" s="448"/>
      <c r="GA40" s="448"/>
      <c r="GB40" s="448"/>
      <c r="GC40" s="448"/>
      <c r="GD40" s="448"/>
      <c r="GE40" s="448"/>
      <c r="GF40" s="448"/>
      <c r="GG40" s="448"/>
      <c r="GH40" s="448"/>
      <c r="GI40" s="448"/>
      <c r="GJ40" s="448"/>
      <c r="GK40" s="448"/>
      <c r="GL40" s="448"/>
      <c r="GM40" s="448"/>
      <c r="GN40" s="448"/>
      <c r="GO40" s="448"/>
      <c r="GP40" s="448"/>
      <c r="GQ40" s="448"/>
      <c r="GR40" s="448"/>
      <c r="GS40" s="448"/>
      <c r="GT40" s="448"/>
      <c r="GU40" s="448"/>
      <c r="GV40" s="448"/>
      <c r="GW40" s="448"/>
      <c r="GX40" s="448"/>
      <c r="GY40" s="448"/>
      <c r="GZ40" s="448"/>
      <c r="HA40" s="448"/>
      <c r="HB40" s="448"/>
      <c r="HC40" s="448"/>
      <c r="HD40" s="448"/>
      <c r="HE40" s="448"/>
      <c r="HF40" s="448"/>
      <c r="HG40" s="448"/>
      <c r="HH40" s="448"/>
      <c r="HI40" s="448"/>
      <c r="HJ40" s="448"/>
      <c r="HK40" s="448"/>
      <c r="HL40" s="448"/>
      <c r="HM40" s="448"/>
      <c r="HN40" s="448"/>
      <c r="HO40" s="448"/>
      <c r="HP40" s="448"/>
      <c r="HQ40" s="448"/>
      <c r="HR40" s="448"/>
      <c r="HS40" s="448"/>
      <c r="HT40" s="448"/>
      <c r="HU40" s="448"/>
      <c r="HV40" s="448"/>
      <c r="HW40" s="448"/>
      <c r="HX40" s="448"/>
      <c r="HY40" s="448"/>
      <c r="HZ40" s="448"/>
      <c r="IA40" s="448"/>
      <c r="IB40" s="448"/>
      <c r="IC40" s="448"/>
      <c r="ID40" s="448"/>
      <c r="IE40" s="448"/>
      <c r="IF40" s="448"/>
      <c r="IG40" s="448"/>
      <c r="IH40" s="448"/>
      <c r="II40" s="448"/>
      <c r="IJ40" s="448"/>
      <c r="IK40" s="448"/>
      <c r="IL40" s="448"/>
      <c r="IM40" s="448"/>
      <c r="IN40" s="448"/>
      <c r="IO40" s="448"/>
      <c r="IP40" s="448"/>
      <c r="IQ40" s="448"/>
      <c r="IR40" s="448"/>
      <c r="IS40" s="448"/>
      <c r="IT40" s="448"/>
      <c r="IU40" s="448"/>
    </row>
    <row r="41" spans="1:255" s="38" customFormat="1" ht="19.5" customHeight="1">
      <c r="A41" s="4"/>
      <c r="B41" s="5"/>
      <c r="C41" s="26"/>
      <c r="D41" s="505"/>
      <c r="E41" s="506"/>
      <c r="F41" s="506"/>
      <c r="G41" s="506"/>
      <c r="H41" s="507"/>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8"/>
      <c r="AY41" s="448"/>
      <c r="AZ41" s="448"/>
      <c r="BA41" s="448"/>
      <c r="BB41" s="448"/>
      <c r="BC41" s="448"/>
      <c r="BD41" s="448"/>
      <c r="BE41" s="448"/>
      <c r="BF41" s="448"/>
      <c r="BG41" s="448"/>
      <c r="BH41" s="448"/>
      <c r="BI41" s="448"/>
      <c r="BJ41" s="448"/>
      <c r="BK41" s="448"/>
      <c r="BL41" s="448"/>
      <c r="BM41" s="448"/>
      <c r="BN41" s="448"/>
      <c r="BO41" s="448"/>
      <c r="BP41" s="448"/>
      <c r="BQ41" s="448"/>
      <c r="BR41" s="448"/>
      <c r="BS41" s="448"/>
      <c r="BT41" s="448"/>
      <c r="BU41" s="448"/>
      <c r="BV41" s="448"/>
      <c r="BW41" s="448"/>
      <c r="BX41" s="448"/>
      <c r="BY41" s="448"/>
      <c r="BZ41" s="448"/>
      <c r="CA41" s="448"/>
      <c r="CB41" s="448"/>
      <c r="CC41" s="448"/>
      <c r="CD41" s="448"/>
      <c r="CE41" s="448"/>
      <c r="CF41" s="448"/>
      <c r="CG41" s="448"/>
      <c r="CH41" s="448"/>
      <c r="CI41" s="448"/>
      <c r="CJ41" s="448"/>
      <c r="CK41" s="448"/>
      <c r="CL41" s="448"/>
      <c r="CM41" s="448"/>
      <c r="CN41" s="448"/>
      <c r="CO41" s="448"/>
      <c r="CP41" s="448"/>
      <c r="CQ41" s="448"/>
      <c r="CR41" s="448"/>
      <c r="CS41" s="448"/>
      <c r="CT41" s="448"/>
      <c r="CU41" s="448"/>
      <c r="CV41" s="448"/>
      <c r="CW41" s="448"/>
      <c r="CX41" s="448"/>
      <c r="CY41" s="448"/>
      <c r="CZ41" s="448"/>
      <c r="DA41" s="448"/>
      <c r="DB41" s="448"/>
      <c r="DC41" s="448"/>
      <c r="DD41" s="448"/>
      <c r="DE41" s="448"/>
      <c r="DF41" s="448"/>
      <c r="DG41" s="448"/>
      <c r="DH41" s="448"/>
      <c r="DI41" s="448"/>
      <c r="DJ41" s="448"/>
      <c r="DK41" s="448"/>
      <c r="DL41" s="448"/>
      <c r="DM41" s="448"/>
      <c r="DN41" s="448"/>
      <c r="DO41" s="448"/>
      <c r="DP41" s="448"/>
      <c r="DQ41" s="448"/>
      <c r="DR41" s="448"/>
      <c r="DS41" s="448"/>
      <c r="DT41" s="448"/>
      <c r="DU41" s="448"/>
      <c r="DV41" s="448"/>
      <c r="DW41" s="448"/>
      <c r="DX41" s="448"/>
      <c r="DY41" s="448"/>
      <c r="DZ41" s="448"/>
      <c r="EA41" s="448"/>
      <c r="EB41" s="448"/>
      <c r="EC41" s="448"/>
      <c r="ED41" s="448"/>
      <c r="EE41" s="448"/>
      <c r="EF41" s="448"/>
      <c r="EG41" s="448"/>
      <c r="EH41" s="448"/>
      <c r="EI41" s="448"/>
      <c r="EJ41" s="448"/>
      <c r="EK41" s="448"/>
      <c r="EL41" s="448"/>
      <c r="EM41" s="448"/>
      <c r="EN41" s="448"/>
      <c r="EO41" s="448"/>
      <c r="EP41" s="448"/>
      <c r="EQ41" s="448"/>
      <c r="ER41" s="448"/>
      <c r="ES41" s="448"/>
      <c r="ET41" s="448"/>
      <c r="EU41" s="448"/>
      <c r="EV41" s="448"/>
      <c r="EW41" s="448"/>
      <c r="EX41" s="448"/>
      <c r="EY41" s="448"/>
      <c r="EZ41" s="448"/>
      <c r="FA41" s="448"/>
      <c r="FB41" s="448"/>
      <c r="FC41" s="448"/>
      <c r="FD41" s="448"/>
      <c r="FE41" s="448"/>
      <c r="FF41" s="448"/>
      <c r="FG41" s="448"/>
      <c r="FH41" s="448"/>
      <c r="FI41" s="448"/>
      <c r="FJ41" s="448"/>
      <c r="FK41" s="448"/>
      <c r="FL41" s="448"/>
      <c r="FM41" s="448"/>
      <c r="FN41" s="448"/>
      <c r="FO41" s="448"/>
      <c r="FP41" s="448"/>
      <c r="FQ41" s="448"/>
      <c r="FR41" s="448"/>
      <c r="FS41" s="448"/>
      <c r="FT41" s="448"/>
      <c r="FU41" s="448"/>
      <c r="FV41" s="448"/>
      <c r="FW41" s="448"/>
      <c r="FX41" s="448"/>
      <c r="FY41" s="448"/>
      <c r="FZ41" s="448"/>
      <c r="GA41" s="448"/>
      <c r="GB41" s="448"/>
      <c r="GC41" s="448"/>
      <c r="GD41" s="448"/>
      <c r="GE41" s="448"/>
      <c r="GF41" s="448"/>
      <c r="GG41" s="448"/>
      <c r="GH41" s="448"/>
      <c r="GI41" s="448"/>
      <c r="GJ41" s="448"/>
      <c r="GK41" s="448"/>
      <c r="GL41" s="448"/>
      <c r="GM41" s="448"/>
      <c r="GN41" s="448"/>
      <c r="GO41" s="448"/>
      <c r="GP41" s="448"/>
      <c r="GQ41" s="448"/>
      <c r="GR41" s="448"/>
      <c r="GS41" s="448"/>
      <c r="GT41" s="448"/>
      <c r="GU41" s="448"/>
      <c r="GV41" s="448"/>
      <c r="GW41" s="448"/>
      <c r="GX41" s="448"/>
      <c r="GY41" s="448"/>
      <c r="GZ41" s="448"/>
      <c r="HA41" s="448"/>
      <c r="HB41" s="448"/>
      <c r="HC41" s="448"/>
      <c r="HD41" s="448"/>
      <c r="HE41" s="448"/>
      <c r="HF41" s="448"/>
      <c r="HG41" s="448"/>
      <c r="HH41" s="448"/>
      <c r="HI41" s="448"/>
      <c r="HJ41" s="448"/>
      <c r="HK41" s="448"/>
      <c r="HL41" s="448"/>
      <c r="HM41" s="448"/>
      <c r="HN41" s="448"/>
      <c r="HO41" s="448"/>
      <c r="HP41" s="448"/>
      <c r="HQ41" s="448"/>
      <c r="HR41" s="448"/>
      <c r="HS41" s="448"/>
      <c r="HT41" s="448"/>
      <c r="HU41" s="448"/>
      <c r="HV41" s="448"/>
      <c r="HW41" s="448"/>
      <c r="HX41" s="448"/>
      <c r="HY41" s="448"/>
      <c r="HZ41" s="448"/>
      <c r="IA41" s="448"/>
      <c r="IB41" s="448"/>
      <c r="IC41" s="448"/>
      <c r="ID41" s="448"/>
      <c r="IE41" s="448"/>
      <c r="IF41" s="448"/>
      <c r="IG41" s="448"/>
      <c r="IH41" s="448"/>
      <c r="II41" s="448"/>
      <c r="IJ41" s="448"/>
      <c r="IK41" s="448"/>
      <c r="IL41" s="448"/>
      <c r="IM41" s="448"/>
      <c r="IN41" s="448"/>
      <c r="IO41" s="448"/>
      <c r="IP41" s="448"/>
      <c r="IQ41" s="448"/>
      <c r="IR41" s="448"/>
      <c r="IS41" s="448"/>
      <c r="IT41" s="448"/>
      <c r="IU41" s="448"/>
    </row>
    <row r="42" spans="1:255" s="38" customFormat="1" ht="19.5" customHeight="1">
      <c r="A42" s="4"/>
      <c r="B42" s="5"/>
      <c r="C42" s="26"/>
      <c r="D42" s="505"/>
      <c r="E42" s="506"/>
      <c r="F42" s="506"/>
      <c r="G42" s="506"/>
      <c r="H42" s="507"/>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8"/>
      <c r="AO42" s="448"/>
      <c r="AP42" s="448"/>
      <c r="AQ42" s="448"/>
      <c r="AR42" s="448"/>
      <c r="AS42" s="448"/>
      <c r="AT42" s="448"/>
      <c r="AU42" s="448"/>
      <c r="AV42" s="448"/>
      <c r="AW42" s="448"/>
      <c r="AX42" s="448"/>
      <c r="AY42" s="448"/>
      <c r="AZ42" s="448"/>
      <c r="BA42" s="448"/>
      <c r="BB42" s="448"/>
      <c r="BC42" s="448"/>
      <c r="BD42" s="448"/>
      <c r="BE42" s="448"/>
      <c r="BF42" s="448"/>
      <c r="BG42" s="448"/>
      <c r="BH42" s="448"/>
      <c r="BI42" s="448"/>
      <c r="BJ42" s="448"/>
      <c r="BK42" s="448"/>
      <c r="BL42" s="448"/>
      <c r="BM42" s="448"/>
      <c r="BN42" s="448"/>
      <c r="BO42" s="448"/>
      <c r="BP42" s="448"/>
      <c r="BQ42" s="448"/>
      <c r="BR42" s="448"/>
      <c r="BS42" s="448"/>
      <c r="BT42" s="448"/>
      <c r="BU42" s="448"/>
      <c r="BV42" s="448"/>
      <c r="BW42" s="448"/>
      <c r="BX42" s="448"/>
      <c r="BY42" s="448"/>
      <c r="BZ42" s="448"/>
      <c r="CA42" s="448"/>
      <c r="CB42" s="448"/>
      <c r="CC42" s="448"/>
      <c r="CD42" s="448"/>
      <c r="CE42" s="448"/>
      <c r="CF42" s="448"/>
      <c r="CG42" s="448"/>
      <c r="CH42" s="448"/>
      <c r="CI42" s="448"/>
      <c r="CJ42" s="448"/>
      <c r="CK42" s="448"/>
      <c r="CL42" s="448"/>
      <c r="CM42" s="448"/>
      <c r="CN42" s="448"/>
      <c r="CO42" s="448"/>
      <c r="CP42" s="448"/>
      <c r="CQ42" s="448"/>
      <c r="CR42" s="448"/>
      <c r="CS42" s="448"/>
      <c r="CT42" s="448"/>
      <c r="CU42" s="448"/>
      <c r="CV42" s="448"/>
      <c r="CW42" s="448"/>
      <c r="CX42" s="448"/>
      <c r="CY42" s="448"/>
      <c r="CZ42" s="448"/>
      <c r="DA42" s="448"/>
      <c r="DB42" s="448"/>
      <c r="DC42" s="448"/>
      <c r="DD42" s="448"/>
      <c r="DE42" s="448"/>
      <c r="DF42" s="448"/>
      <c r="DG42" s="448"/>
      <c r="DH42" s="448"/>
      <c r="DI42" s="448"/>
      <c r="DJ42" s="448"/>
      <c r="DK42" s="448"/>
      <c r="DL42" s="448"/>
      <c r="DM42" s="448"/>
      <c r="DN42" s="448"/>
      <c r="DO42" s="448"/>
      <c r="DP42" s="448"/>
      <c r="DQ42" s="448"/>
      <c r="DR42" s="448"/>
      <c r="DS42" s="448"/>
      <c r="DT42" s="448"/>
      <c r="DU42" s="448"/>
      <c r="DV42" s="448"/>
      <c r="DW42" s="448"/>
      <c r="DX42" s="448"/>
      <c r="DY42" s="448"/>
      <c r="DZ42" s="448"/>
      <c r="EA42" s="448"/>
      <c r="EB42" s="448"/>
      <c r="EC42" s="448"/>
      <c r="ED42" s="448"/>
      <c r="EE42" s="448"/>
      <c r="EF42" s="448"/>
      <c r="EG42" s="448"/>
      <c r="EH42" s="448"/>
      <c r="EI42" s="448"/>
      <c r="EJ42" s="448"/>
      <c r="EK42" s="448"/>
      <c r="EL42" s="448"/>
      <c r="EM42" s="448"/>
      <c r="EN42" s="448"/>
      <c r="EO42" s="448"/>
      <c r="EP42" s="448"/>
      <c r="EQ42" s="448"/>
      <c r="ER42" s="448"/>
      <c r="ES42" s="448"/>
      <c r="ET42" s="448"/>
      <c r="EU42" s="448"/>
      <c r="EV42" s="448"/>
      <c r="EW42" s="448"/>
      <c r="EX42" s="448"/>
      <c r="EY42" s="448"/>
      <c r="EZ42" s="448"/>
      <c r="FA42" s="448"/>
      <c r="FB42" s="448"/>
      <c r="FC42" s="448"/>
      <c r="FD42" s="448"/>
      <c r="FE42" s="448"/>
      <c r="FF42" s="448"/>
      <c r="FG42" s="448"/>
      <c r="FH42" s="448"/>
      <c r="FI42" s="448"/>
      <c r="FJ42" s="448"/>
      <c r="FK42" s="448"/>
      <c r="FL42" s="448"/>
      <c r="FM42" s="448"/>
      <c r="FN42" s="448"/>
      <c r="FO42" s="448"/>
      <c r="FP42" s="448"/>
      <c r="FQ42" s="448"/>
      <c r="FR42" s="448"/>
      <c r="FS42" s="448"/>
      <c r="FT42" s="448"/>
      <c r="FU42" s="448"/>
      <c r="FV42" s="448"/>
      <c r="FW42" s="448"/>
      <c r="FX42" s="448"/>
      <c r="FY42" s="448"/>
      <c r="FZ42" s="448"/>
      <c r="GA42" s="448"/>
      <c r="GB42" s="448"/>
      <c r="GC42" s="448"/>
      <c r="GD42" s="448"/>
      <c r="GE42" s="448"/>
      <c r="GF42" s="448"/>
      <c r="GG42" s="448"/>
      <c r="GH42" s="448"/>
      <c r="GI42" s="448"/>
      <c r="GJ42" s="448"/>
      <c r="GK42" s="448"/>
      <c r="GL42" s="448"/>
      <c r="GM42" s="448"/>
      <c r="GN42" s="448"/>
      <c r="GO42" s="448"/>
      <c r="GP42" s="448"/>
      <c r="GQ42" s="448"/>
      <c r="GR42" s="448"/>
      <c r="GS42" s="448"/>
      <c r="GT42" s="448"/>
      <c r="GU42" s="448"/>
      <c r="GV42" s="448"/>
      <c r="GW42" s="448"/>
      <c r="GX42" s="448"/>
      <c r="GY42" s="448"/>
      <c r="GZ42" s="448"/>
      <c r="HA42" s="448"/>
      <c r="HB42" s="448"/>
      <c r="HC42" s="448"/>
      <c r="HD42" s="448"/>
      <c r="HE42" s="448"/>
      <c r="HF42" s="448"/>
      <c r="HG42" s="448"/>
      <c r="HH42" s="448"/>
      <c r="HI42" s="448"/>
      <c r="HJ42" s="448"/>
      <c r="HK42" s="448"/>
      <c r="HL42" s="448"/>
      <c r="HM42" s="448"/>
      <c r="HN42" s="448"/>
      <c r="HO42" s="448"/>
      <c r="HP42" s="448"/>
      <c r="HQ42" s="448"/>
      <c r="HR42" s="448"/>
      <c r="HS42" s="448"/>
      <c r="HT42" s="448"/>
      <c r="HU42" s="448"/>
      <c r="HV42" s="448"/>
      <c r="HW42" s="448"/>
      <c r="HX42" s="448"/>
      <c r="HY42" s="448"/>
      <c r="HZ42" s="448"/>
      <c r="IA42" s="448"/>
      <c r="IB42" s="448"/>
      <c r="IC42" s="448"/>
      <c r="ID42" s="448"/>
      <c r="IE42" s="448"/>
      <c r="IF42" s="448"/>
      <c r="IG42" s="448"/>
      <c r="IH42" s="448"/>
      <c r="II42" s="448"/>
      <c r="IJ42" s="448"/>
      <c r="IK42" s="448"/>
      <c r="IL42" s="448"/>
      <c r="IM42" s="448"/>
      <c r="IN42" s="448"/>
      <c r="IO42" s="448"/>
      <c r="IP42" s="448"/>
      <c r="IQ42" s="448"/>
      <c r="IR42" s="448"/>
      <c r="IS42" s="448"/>
      <c r="IT42" s="448"/>
      <c r="IU42" s="448"/>
    </row>
    <row r="43" spans="1:255" s="38" customFormat="1" ht="19.5" customHeight="1">
      <c r="A43" s="4"/>
      <c r="B43" s="5"/>
      <c r="C43" s="26"/>
      <c r="D43" s="505"/>
      <c r="E43" s="506"/>
      <c r="F43" s="506"/>
      <c r="G43" s="506"/>
      <c r="H43" s="507"/>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8"/>
      <c r="AY43" s="448"/>
      <c r="AZ43" s="448"/>
      <c r="BA43" s="448"/>
      <c r="BB43" s="448"/>
      <c r="BC43" s="448"/>
      <c r="BD43" s="448"/>
      <c r="BE43" s="448"/>
      <c r="BF43" s="448"/>
      <c r="BG43" s="448"/>
      <c r="BH43" s="448"/>
      <c r="BI43" s="448"/>
      <c r="BJ43" s="448"/>
      <c r="BK43" s="448"/>
      <c r="BL43" s="448"/>
      <c r="BM43" s="448"/>
      <c r="BN43" s="448"/>
      <c r="BO43" s="448"/>
      <c r="BP43" s="448"/>
      <c r="BQ43" s="448"/>
      <c r="BR43" s="448"/>
      <c r="BS43" s="448"/>
      <c r="BT43" s="448"/>
      <c r="BU43" s="448"/>
      <c r="BV43" s="448"/>
      <c r="BW43" s="448"/>
      <c r="BX43" s="448"/>
      <c r="BY43" s="448"/>
      <c r="BZ43" s="448"/>
      <c r="CA43" s="448"/>
      <c r="CB43" s="448"/>
      <c r="CC43" s="448"/>
      <c r="CD43" s="448"/>
      <c r="CE43" s="448"/>
      <c r="CF43" s="448"/>
      <c r="CG43" s="448"/>
      <c r="CH43" s="448"/>
      <c r="CI43" s="448"/>
      <c r="CJ43" s="448"/>
      <c r="CK43" s="448"/>
      <c r="CL43" s="448"/>
      <c r="CM43" s="448"/>
      <c r="CN43" s="448"/>
      <c r="CO43" s="448"/>
      <c r="CP43" s="448"/>
      <c r="CQ43" s="448"/>
      <c r="CR43" s="448"/>
      <c r="CS43" s="448"/>
      <c r="CT43" s="448"/>
      <c r="CU43" s="448"/>
      <c r="CV43" s="448"/>
      <c r="CW43" s="448"/>
      <c r="CX43" s="448"/>
      <c r="CY43" s="448"/>
      <c r="CZ43" s="448"/>
      <c r="DA43" s="448"/>
      <c r="DB43" s="448"/>
      <c r="DC43" s="448"/>
      <c r="DD43" s="448"/>
      <c r="DE43" s="448"/>
      <c r="DF43" s="448"/>
      <c r="DG43" s="448"/>
      <c r="DH43" s="448"/>
      <c r="DI43" s="448"/>
      <c r="DJ43" s="448"/>
      <c r="DK43" s="448"/>
      <c r="DL43" s="448"/>
      <c r="DM43" s="448"/>
      <c r="DN43" s="448"/>
      <c r="DO43" s="448"/>
      <c r="DP43" s="448"/>
      <c r="DQ43" s="448"/>
      <c r="DR43" s="448"/>
      <c r="DS43" s="448"/>
      <c r="DT43" s="448"/>
      <c r="DU43" s="448"/>
      <c r="DV43" s="448"/>
      <c r="DW43" s="448"/>
      <c r="DX43" s="448"/>
      <c r="DY43" s="448"/>
      <c r="DZ43" s="448"/>
      <c r="EA43" s="448"/>
      <c r="EB43" s="448"/>
      <c r="EC43" s="448"/>
      <c r="ED43" s="448"/>
      <c r="EE43" s="448"/>
      <c r="EF43" s="448"/>
      <c r="EG43" s="448"/>
      <c r="EH43" s="448"/>
      <c r="EI43" s="448"/>
      <c r="EJ43" s="448"/>
      <c r="EK43" s="448"/>
      <c r="EL43" s="448"/>
      <c r="EM43" s="448"/>
      <c r="EN43" s="448"/>
      <c r="EO43" s="448"/>
      <c r="EP43" s="448"/>
      <c r="EQ43" s="448"/>
      <c r="ER43" s="448"/>
      <c r="ES43" s="448"/>
      <c r="ET43" s="448"/>
      <c r="EU43" s="448"/>
      <c r="EV43" s="448"/>
      <c r="EW43" s="448"/>
      <c r="EX43" s="448"/>
      <c r="EY43" s="448"/>
      <c r="EZ43" s="448"/>
      <c r="FA43" s="448"/>
      <c r="FB43" s="448"/>
      <c r="FC43" s="448"/>
      <c r="FD43" s="448"/>
      <c r="FE43" s="448"/>
      <c r="FF43" s="448"/>
      <c r="FG43" s="448"/>
      <c r="FH43" s="448"/>
      <c r="FI43" s="448"/>
      <c r="FJ43" s="448"/>
      <c r="FK43" s="448"/>
      <c r="FL43" s="448"/>
      <c r="FM43" s="448"/>
      <c r="FN43" s="448"/>
      <c r="FO43" s="448"/>
      <c r="FP43" s="448"/>
      <c r="FQ43" s="448"/>
      <c r="FR43" s="448"/>
      <c r="FS43" s="448"/>
      <c r="FT43" s="448"/>
      <c r="FU43" s="448"/>
      <c r="FV43" s="448"/>
      <c r="FW43" s="448"/>
      <c r="FX43" s="448"/>
      <c r="FY43" s="448"/>
      <c r="FZ43" s="448"/>
      <c r="GA43" s="448"/>
      <c r="GB43" s="448"/>
      <c r="GC43" s="448"/>
      <c r="GD43" s="448"/>
      <c r="GE43" s="448"/>
      <c r="GF43" s="448"/>
      <c r="GG43" s="448"/>
      <c r="GH43" s="448"/>
      <c r="GI43" s="448"/>
      <c r="GJ43" s="448"/>
      <c r="GK43" s="448"/>
      <c r="GL43" s="448"/>
      <c r="GM43" s="448"/>
      <c r="GN43" s="448"/>
      <c r="GO43" s="448"/>
      <c r="GP43" s="448"/>
      <c r="GQ43" s="448"/>
      <c r="GR43" s="448"/>
      <c r="GS43" s="448"/>
      <c r="GT43" s="448"/>
      <c r="GU43" s="448"/>
      <c r="GV43" s="448"/>
      <c r="GW43" s="448"/>
      <c r="GX43" s="448"/>
      <c r="GY43" s="448"/>
      <c r="GZ43" s="448"/>
      <c r="HA43" s="448"/>
      <c r="HB43" s="448"/>
      <c r="HC43" s="448"/>
      <c r="HD43" s="448"/>
      <c r="HE43" s="448"/>
      <c r="HF43" s="448"/>
      <c r="HG43" s="448"/>
      <c r="HH43" s="448"/>
      <c r="HI43" s="448"/>
      <c r="HJ43" s="448"/>
      <c r="HK43" s="448"/>
      <c r="HL43" s="448"/>
      <c r="HM43" s="448"/>
      <c r="HN43" s="448"/>
      <c r="HO43" s="448"/>
      <c r="HP43" s="448"/>
      <c r="HQ43" s="448"/>
      <c r="HR43" s="448"/>
      <c r="HS43" s="448"/>
      <c r="HT43" s="448"/>
      <c r="HU43" s="448"/>
      <c r="HV43" s="448"/>
      <c r="HW43" s="448"/>
      <c r="HX43" s="448"/>
      <c r="HY43" s="448"/>
      <c r="HZ43" s="448"/>
      <c r="IA43" s="448"/>
      <c r="IB43" s="448"/>
      <c r="IC43" s="448"/>
      <c r="ID43" s="448"/>
      <c r="IE43" s="448"/>
      <c r="IF43" s="448"/>
      <c r="IG43" s="448"/>
      <c r="IH43" s="448"/>
      <c r="II43" s="448"/>
      <c r="IJ43" s="448"/>
      <c r="IK43" s="448"/>
      <c r="IL43" s="448"/>
      <c r="IM43" s="448"/>
      <c r="IN43" s="448"/>
      <c r="IO43" s="448"/>
      <c r="IP43" s="448"/>
      <c r="IQ43" s="448"/>
      <c r="IR43" s="448"/>
      <c r="IS43" s="448"/>
      <c r="IT43" s="448"/>
      <c r="IU43" s="448"/>
    </row>
    <row r="44" spans="1:255" s="38" customFormat="1" ht="19.5" customHeight="1">
      <c r="A44" s="4"/>
      <c r="B44" s="5"/>
      <c r="C44" s="26"/>
      <c r="D44" s="505"/>
      <c r="E44" s="506"/>
      <c r="F44" s="506"/>
      <c r="G44" s="506"/>
      <c r="H44" s="507"/>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8"/>
      <c r="AY44" s="448"/>
      <c r="AZ44" s="448"/>
      <c r="BA44" s="448"/>
      <c r="BB44" s="448"/>
      <c r="BC44" s="448"/>
      <c r="BD44" s="448"/>
      <c r="BE44" s="448"/>
      <c r="BF44" s="448"/>
      <c r="BG44" s="448"/>
      <c r="BH44" s="448"/>
      <c r="BI44" s="448"/>
      <c r="BJ44" s="448"/>
      <c r="BK44" s="448"/>
      <c r="BL44" s="448"/>
      <c r="BM44" s="448"/>
      <c r="BN44" s="448"/>
      <c r="BO44" s="448"/>
      <c r="BP44" s="448"/>
      <c r="BQ44" s="448"/>
      <c r="BR44" s="448"/>
      <c r="BS44" s="448"/>
      <c r="BT44" s="448"/>
      <c r="BU44" s="448"/>
      <c r="BV44" s="448"/>
      <c r="BW44" s="448"/>
      <c r="BX44" s="448"/>
      <c r="BY44" s="448"/>
      <c r="BZ44" s="448"/>
      <c r="CA44" s="448"/>
      <c r="CB44" s="448"/>
      <c r="CC44" s="448"/>
      <c r="CD44" s="448"/>
      <c r="CE44" s="448"/>
      <c r="CF44" s="448"/>
      <c r="CG44" s="448"/>
      <c r="CH44" s="448"/>
      <c r="CI44" s="448"/>
      <c r="CJ44" s="448"/>
      <c r="CK44" s="448"/>
      <c r="CL44" s="448"/>
      <c r="CM44" s="448"/>
      <c r="CN44" s="448"/>
      <c r="CO44" s="448"/>
      <c r="CP44" s="448"/>
      <c r="CQ44" s="448"/>
      <c r="CR44" s="448"/>
      <c r="CS44" s="448"/>
      <c r="CT44" s="448"/>
      <c r="CU44" s="448"/>
      <c r="CV44" s="448"/>
      <c r="CW44" s="448"/>
      <c r="CX44" s="448"/>
      <c r="CY44" s="448"/>
      <c r="CZ44" s="448"/>
      <c r="DA44" s="448"/>
      <c r="DB44" s="448"/>
      <c r="DC44" s="448"/>
      <c r="DD44" s="448"/>
      <c r="DE44" s="448"/>
      <c r="DF44" s="448"/>
      <c r="DG44" s="448"/>
      <c r="DH44" s="448"/>
      <c r="DI44" s="448"/>
      <c r="DJ44" s="448"/>
      <c r="DK44" s="448"/>
      <c r="DL44" s="448"/>
      <c r="DM44" s="448"/>
      <c r="DN44" s="448"/>
      <c r="DO44" s="448"/>
      <c r="DP44" s="448"/>
      <c r="DQ44" s="448"/>
      <c r="DR44" s="448"/>
      <c r="DS44" s="448"/>
      <c r="DT44" s="448"/>
      <c r="DU44" s="448"/>
      <c r="DV44" s="448"/>
      <c r="DW44" s="448"/>
      <c r="DX44" s="448"/>
      <c r="DY44" s="448"/>
      <c r="DZ44" s="448"/>
      <c r="EA44" s="448"/>
      <c r="EB44" s="448"/>
      <c r="EC44" s="448"/>
      <c r="ED44" s="448"/>
      <c r="EE44" s="448"/>
      <c r="EF44" s="448"/>
      <c r="EG44" s="448"/>
      <c r="EH44" s="448"/>
      <c r="EI44" s="448"/>
      <c r="EJ44" s="448"/>
      <c r="EK44" s="448"/>
      <c r="EL44" s="448"/>
      <c r="EM44" s="448"/>
      <c r="EN44" s="448"/>
      <c r="EO44" s="448"/>
      <c r="EP44" s="448"/>
      <c r="EQ44" s="448"/>
      <c r="ER44" s="448"/>
      <c r="ES44" s="448"/>
      <c r="ET44" s="448"/>
      <c r="EU44" s="448"/>
      <c r="EV44" s="448"/>
      <c r="EW44" s="448"/>
      <c r="EX44" s="448"/>
      <c r="EY44" s="448"/>
      <c r="EZ44" s="448"/>
      <c r="FA44" s="448"/>
      <c r="FB44" s="448"/>
      <c r="FC44" s="448"/>
      <c r="FD44" s="448"/>
      <c r="FE44" s="448"/>
      <c r="FF44" s="448"/>
      <c r="FG44" s="448"/>
      <c r="FH44" s="448"/>
      <c r="FI44" s="448"/>
      <c r="FJ44" s="448"/>
      <c r="FK44" s="448"/>
      <c r="FL44" s="448"/>
      <c r="FM44" s="448"/>
      <c r="FN44" s="448"/>
      <c r="FO44" s="448"/>
      <c r="FP44" s="448"/>
      <c r="FQ44" s="448"/>
      <c r="FR44" s="448"/>
      <c r="FS44" s="448"/>
      <c r="FT44" s="448"/>
      <c r="FU44" s="448"/>
      <c r="FV44" s="448"/>
      <c r="FW44" s="448"/>
      <c r="FX44" s="448"/>
      <c r="FY44" s="448"/>
      <c r="FZ44" s="448"/>
      <c r="GA44" s="448"/>
      <c r="GB44" s="448"/>
      <c r="GC44" s="448"/>
      <c r="GD44" s="448"/>
      <c r="GE44" s="448"/>
      <c r="GF44" s="448"/>
      <c r="GG44" s="448"/>
      <c r="GH44" s="448"/>
      <c r="GI44" s="448"/>
      <c r="GJ44" s="448"/>
      <c r="GK44" s="448"/>
      <c r="GL44" s="448"/>
      <c r="GM44" s="448"/>
      <c r="GN44" s="448"/>
      <c r="GO44" s="448"/>
      <c r="GP44" s="448"/>
      <c r="GQ44" s="448"/>
      <c r="GR44" s="448"/>
      <c r="GS44" s="448"/>
      <c r="GT44" s="448"/>
      <c r="GU44" s="448"/>
      <c r="GV44" s="448"/>
      <c r="GW44" s="448"/>
      <c r="GX44" s="448"/>
      <c r="GY44" s="448"/>
      <c r="GZ44" s="448"/>
      <c r="HA44" s="448"/>
      <c r="HB44" s="448"/>
      <c r="HC44" s="448"/>
      <c r="HD44" s="448"/>
      <c r="HE44" s="448"/>
      <c r="HF44" s="448"/>
      <c r="HG44" s="448"/>
      <c r="HH44" s="448"/>
      <c r="HI44" s="448"/>
      <c r="HJ44" s="448"/>
      <c r="HK44" s="448"/>
      <c r="HL44" s="448"/>
      <c r="HM44" s="448"/>
      <c r="HN44" s="448"/>
      <c r="HO44" s="448"/>
      <c r="HP44" s="448"/>
      <c r="HQ44" s="448"/>
      <c r="HR44" s="448"/>
      <c r="HS44" s="448"/>
      <c r="HT44" s="448"/>
      <c r="HU44" s="448"/>
      <c r="HV44" s="448"/>
      <c r="HW44" s="448"/>
      <c r="HX44" s="448"/>
      <c r="HY44" s="448"/>
      <c r="HZ44" s="448"/>
      <c r="IA44" s="448"/>
      <c r="IB44" s="448"/>
      <c r="IC44" s="448"/>
      <c r="ID44" s="448"/>
      <c r="IE44" s="448"/>
      <c r="IF44" s="448"/>
      <c r="IG44" s="448"/>
      <c r="IH44" s="448"/>
      <c r="II44" s="448"/>
      <c r="IJ44" s="448"/>
      <c r="IK44" s="448"/>
      <c r="IL44" s="448"/>
      <c r="IM44" s="448"/>
      <c r="IN44" s="448"/>
      <c r="IO44" s="448"/>
      <c r="IP44" s="448"/>
      <c r="IQ44" s="448"/>
      <c r="IR44" s="448"/>
      <c r="IS44" s="448"/>
      <c r="IT44" s="448"/>
      <c r="IU44" s="448"/>
    </row>
    <row r="45" spans="1:255" s="38" customFormat="1" ht="15">
      <c r="A45" s="4"/>
      <c r="B45" s="5"/>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48"/>
      <c r="BR45" s="448"/>
      <c r="BS45" s="448"/>
      <c r="BT45" s="448"/>
      <c r="BU45" s="448"/>
      <c r="BV45" s="448"/>
      <c r="BW45" s="448"/>
      <c r="BX45" s="448"/>
      <c r="BY45" s="448"/>
      <c r="BZ45" s="448"/>
      <c r="CA45" s="448"/>
      <c r="CB45" s="448"/>
      <c r="CC45" s="448"/>
      <c r="CD45" s="448"/>
      <c r="CE45" s="448"/>
      <c r="CF45" s="448"/>
      <c r="CG45" s="448"/>
      <c r="CH45" s="448"/>
      <c r="CI45" s="448"/>
      <c r="CJ45" s="448"/>
      <c r="CK45" s="448"/>
      <c r="CL45" s="448"/>
      <c r="CM45" s="448"/>
      <c r="CN45" s="448"/>
      <c r="CO45" s="448"/>
      <c r="CP45" s="448"/>
      <c r="CQ45" s="448"/>
      <c r="CR45" s="448"/>
      <c r="CS45" s="448"/>
      <c r="CT45" s="448"/>
      <c r="CU45" s="448"/>
      <c r="CV45" s="448"/>
      <c r="CW45" s="448"/>
      <c r="CX45" s="448"/>
      <c r="CY45" s="448"/>
      <c r="CZ45" s="448"/>
      <c r="DA45" s="448"/>
      <c r="DB45" s="448"/>
      <c r="DC45" s="448"/>
      <c r="DD45" s="448"/>
      <c r="DE45" s="448"/>
      <c r="DF45" s="448"/>
      <c r="DG45" s="448"/>
      <c r="DH45" s="448"/>
      <c r="DI45" s="448"/>
      <c r="DJ45" s="448"/>
      <c r="DK45" s="448"/>
      <c r="DL45" s="448"/>
      <c r="DM45" s="448"/>
      <c r="DN45" s="448"/>
      <c r="DO45" s="448"/>
      <c r="DP45" s="448"/>
      <c r="DQ45" s="448"/>
      <c r="DR45" s="448"/>
      <c r="DS45" s="448"/>
      <c r="DT45" s="448"/>
      <c r="DU45" s="448"/>
      <c r="DV45" s="448"/>
      <c r="DW45" s="448"/>
      <c r="DX45" s="448"/>
      <c r="DY45" s="448"/>
      <c r="DZ45" s="448"/>
      <c r="EA45" s="448"/>
      <c r="EB45" s="448"/>
      <c r="EC45" s="448"/>
      <c r="ED45" s="448"/>
      <c r="EE45" s="448"/>
      <c r="EF45" s="448"/>
      <c r="EG45" s="448"/>
      <c r="EH45" s="448"/>
      <c r="EI45" s="448"/>
      <c r="EJ45" s="448"/>
      <c r="EK45" s="448"/>
      <c r="EL45" s="448"/>
      <c r="EM45" s="448"/>
      <c r="EN45" s="448"/>
      <c r="EO45" s="448"/>
      <c r="EP45" s="448"/>
      <c r="EQ45" s="448"/>
      <c r="ER45" s="448"/>
      <c r="ES45" s="448"/>
      <c r="ET45" s="448"/>
      <c r="EU45" s="448"/>
      <c r="EV45" s="448"/>
      <c r="EW45" s="448"/>
      <c r="EX45" s="448"/>
      <c r="EY45" s="448"/>
      <c r="EZ45" s="448"/>
      <c r="FA45" s="448"/>
      <c r="FB45" s="448"/>
      <c r="FC45" s="448"/>
      <c r="FD45" s="448"/>
      <c r="FE45" s="448"/>
      <c r="FF45" s="448"/>
      <c r="FG45" s="448"/>
      <c r="FH45" s="448"/>
      <c r="FI45" s="448"/>
      <c r="FJ45" s="448"/>
      <c r="FK45" s="448"/>
      <c r="FL45" s="448"/>
      <c r="FM45" s="448"/>
      <c r="FN45" s="448"/>
      <c r="FO45" s="448"/>
      <c r="FP45" s="448"/>
      <c r="FQ45" s="448"/>
      <c r="FR45" s="448"/>
      <c r="FS45" s="448"/>
      <c r="FT45" s="448"/>
      <c r="FU45" s="448"/>
      <c r="FV45" s="448"/>
      <c r="FW45" s="448"/>
      <c r="FX45" s="448"/>
      <c r="FY45" s="448"/>
      <c r="FZ45" s="448"/>
      <c r="GA45" s="448"/>
      <c r="GB45" s="448"/>
      <c r="GC45" s="448"/>
      <c r="GD45" s="448"/>
      <c r="GE45" s="448"/>
      <c r="GF45" s="448"/>
      <c r="GG45" s="448"/>
      <c r="GH45" s="448"/>
      <c r="GI45" s="448"/>
      <c r="GJ45" s="448"/>
      <c r="GK45" s="448"/>
      <c r="GL45" s="448"/>
      <c r="GM45" s="448"/>
      <c r="GN45" s="448"/>
      <c r="GO45" s="448"/>
      <c r="GP45" s="448"/>
      <c r="GQ45" s="448"/>
      <c r="GR45" s="448"/>
      <c r="GS45" s="448"/>
      <c r="GT45" s="448"/>
      <c r="GU45" s="448"/>
      <c r="GV45" s="448"/>
      <c r="GW45" s="448"/>
      <c r="GX45" s="448"/>
      <c r="GY45" s="448"/>
      <c r="GZ45" s="448"/>
      <c r="HA45" s="448"/>
      <c r="HB45" s="448"/>
      <c r="HC45" s="448"/>
      <c r="HD45" s="448"/>
      <c r="HE45" s="448"/>
      <c r="HF45" s="448"/>
      <c r="HG45" s="448"/>
      <c r="HH45" s="448"/>
      <c r="HI45" s="448"/>
      <c r="HJ45" s="448"/>
      <c r="HK45" s="448"/>
      <c r="HL45" s="448"/>
      <c r="HM45" s="448"/>
      <c r="HN45" s="448"/>
      <c r="HO45" s="448"/>
      <c r="HP45" s="448"/>
      <c r="HQ45" s="448"/>
      <c r="HR45" s="448"/>
      <c r="HS45" s="448"/>
      <c r="HT45" s="448"/>
      <c r="HU45" s="448"/>
      <c r="HV45" s="448"/>
      <c r="HW45" s="448"/>
      <c r="HX45" s="448"/>
      <c r="HY45" s="448"/>
      <c r="HZ45" s="448"/>
      <c r="IA45" s="448"/>
      <c r="IB45" s="448"/>
      <c r="IC45" s="448"/>
      <c r="ID45" s="448"/>
      <c r="IE45" s="448"/>
      <c r="IF45" s="448"/>
      <c r="IG45" s="448"/>
      <c r="IH45" s="448"/>
      <c r="II45" s="448"/>
      <c r="IJ45" s="448"/>
      <c r="IK45" s="448"/>
      <c r="IL45" s="448"/>
      <c r="IM45" s="448"/>
      <c r="IN45" s="448"/>
      <c r="IO45" s="448"/>
      <c r="IP45" s="448"/>
      <c r="IQ45" s="448"/>
      <c r="IR45" s="448"/>
      <c r="IS45" s="448"/>
      <c r="IT45" s="448"/>
      <c r="IU45" s="448"/>
    </row>
    <row r="46" spans="1:255" s="38" customFormat="1" ht="15">
      <c r="A46" s="4"/>
      <c r="B46" s="5"/>
      <c r="E46" s="26"/>
      <c r="F46" s="26"/>
      <c r="G46" s="26"/>
      <c r="H46" s="26"/>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448"/>
      <c r="AS46" s="448"/>
      <c r="AT46" s="448"/>
      <c r="AU46" s="448"/>
      <c r="AV46" s="448"/>
      <c r="AW46" s="448"/>
      <c r="AX46" s="448"/>
      <c r="AY46" s="448"/>
      <c r="AZ46" s="448"/>
      <c r="BA46" s="448"/>
      <c r="BB46" s="448"/>
      <c r="BC46" s="448"/>
      <c r="BD46" s="448"/>
      <c r="BE46" s="448"/>
      <c r="BF46" s="448"/>
      <c r="BG46" s="448"/>
      <c r="BH46" s="448"/>
      <c r="BI46" s="448"/>
      <c r="BJ46" s="448"/>
      <c r="BK46" s="448"/>
      <c r="BL46" s="448"/>
      <c r="BM46" s="448"/>
      <c r="BN46" s="448"/>
      <c r="BO46" s="448"/>
      <c r="BP46" s="448"/>
      <c r="BQ46" s="448"/>
      <c r="BR46" s="448"/>
      <c r="BS46" s="448"/>
      <c r="BT46" s="448"/>
      <c r="BU46" s="448"/>
      <c r="BV46" s="448"/>
      <c r="BW46" s="448"/>
      <c r="BX46" s="448"/>
      <c r="BY46" s="448"/>
      <c r="BZ46" s="448"/>
      <c r="CA46" s="448"/>
      <c r="CB46" s="448"/>
      <c r="CC46" s="448"/>
      <c r="CD46" s="448"/>
      <c r="CE46" s="448"/>
      <c r="CF46" s="448"/>
      <c r="CG46" s="448"/>
      <c r="CH46" s="448"/>
      <c r="CI46" s="448"/>
      <c r="CJ46" s="448"/>
      <c r="CK46" s="448"/>
      <c r="CL46" s="448"/>
      <c r="CM46" s="448"/>
      <c r="CN46" s="448"/>
      <c r="CO46" s="448"/>
      <c r="CP46" s="448"/>
      <c r="CQ46" s="448"/>
      <c r="CR46" s="448"/>
      <c r="CS46" s="448"/>
      <c r="CT46" s="448"/>
      <c r="CU46" s="448"/>
      <c r="CV46" s="448"/>
      <c r="CW46" s="448"/>
      <c r="CX46" s="448"/>
      <c r="CY46" s="448"/>
      <c r="CZ46" s="448"/>
      <c r="DA46" s="448"/>
      <c r="DB46" s="448"/>
      <c r="DC46" s="448"/>
      <c r="DD46" s="448"/>
      <c r="DE46" s="448"/>
      <c r="DF46" s="448"/>
      <c r="DG46" s="448"/>
      <c r="DH46" s="448"/>
      <c r="DI46" s="448"/>
      <c r="DJ46" s="448"/>
      <c r="DK46" s="448"/>
      <c r="DL46" s="448"/>
      <c r="DM46" s="448"/>
      <c r="DN46" s="448"/>
      <c r="DO46" s="448"/>
      <c r="DP46" s="448"/>
      <c r="DQ46" s="448"/>
      <c r="DR46" s="448"/>
      <c r="DS46" s="448"/>
      <c r="DT46" s="448"/>
      <c r="DU46" s="448"/>
      <c r="DV46" s="448"/>
      <c r="DW46" s="448"/>
      <c r="DX46" s="448"/>
      <c r="DY46" s="448"/>
      <c r="DZ46" s="448"/>
      <c r="EA46" s="448"/>
      <c r="EB46" s="448"/>
      <c r="EC46" s="448"/>
      <c r="ED46" s="448"/>
      <c r="EE46" s="448"/>
      <c r="EF46" s="448"/>
      <c r="EG46" s="448"/>
      <c r="EH46" s="448"/>
      <c r="EI46" s="448"/>
      <c r="EJ46" s="448"/>
      <c r="EK46" s="448"/>
      <c r="EL46" s="448"/>
      <c r="EM46" s="448"/>
      <c r="EN46" s="448"/>
      <c r="EO46" s="448"/>
      <c r="EP46" s="448"/>
      <c r="EQ46" s="448"/>
      <c r="ER46" s="448"/>
      <c r="ES46" s="448"/>
      <c r="ET46" s="448"/>
      <c r="EU46" s="448"/>
      <c r="EV46" s="448"/>
      <c r="EW46" s="448"/>
      <c r="EX46" s="448"/>
      <c r="EY46" s="448"/>
      <c r="EZ46" s="448"/>
      <c r="FA46" s="448"/>
      <c r="FB46" s="448"/>
      <c r="FC46" s="448"/>
      <c r="FD46" s="448"/>
      <c r="FE46" s="448"/>
      <c r="FF46" s="448"/>
      <c r="FG46" s="448"/>
      <c r="FH46" s="448"/>
      <c r="FI46" s="448"/>
      <c r="FJ46" s="448"/>
      <c r="FK46" s="448"/>
      <c r="FL46" s="448"/>
      <c r="FM46" s="448"/>
      <c r="FN46" s="448"/>
      <c r="FO46" s="448"/>
      <c r="FP46" s="448"/>
      <c r="FQ46" s="448"/>
      <c r="FR46" s="448"/>
      <c r="FS46" s="448"/>
      <c r="FT46" s="448"/>
      <c r="FU46" s="448"/>
      <c r="FV46" s="448"/>
      <c r="FW46" s="448"/>
      <c r="FX46" s="448"/>
      <c r="FY46" s="448"/>
      <c r="FZ46" s="448"/>
      <c r="GA46" s="448"/>
      <c r="GB46" s="448"/>
      <c r="GC46" s="448"/>
      <c r="GD46" s="448"/>
      <c r="GE46" s="448"/>
      <c r="GF46" s="448"/>
      <c r="GG46" s="448"/>
      <c r="GH46" s="448"/>
      <c r="GI46" s="448"/>
      <c r="GJ46" s="448"/>
      <c r="GK46" s="448"/>
      <c r="GL46" s="448"/>
      <c r="GM46" s="448"/>
      <c r="GN46" s="448"/>
      <c r="GO46" s="448"/>
      <c r="GP46" s="448"/>
      <c r="GQ46" s="448"/>
      <c r="GR46" s="448"/>
      <c r="GS46" s="448"/>
      <c r="GT46" s="448"/>
      <c r="GU46" s="448"/>
      <c r="GV46" s="448"/>
      <c r="GW46" s="448"/>
      <c r="GX46" s="448"/>
      <c r="GY46" s="448"/>
      <c r="GZ46" s="448"/>
      <c r="HA46" s="448"/>
      <c r="HB46" s="448"/>
      <c r="HC46" s="448"/>
      <c r="HD46" s="448"/>
      <c r="HE46" s="448"/>
      <c r="HF46" s="448"/>
      <c r="HG46" s="448"/>
      <c r="HH46" s="448"/>
      <c r="HI46" s="448"/>
      <c r="HJ46" s="448"/>
      <c r="HK46" s="448"/>
      <c r="HL46" s="448"/>
      <c r="HM46" s="448"/>
      <c r="HN46" s="448"/>
      <c r="HO46" s="448"/>
      <c r="HP46" s="448"/>
      <c r="HQ46" s="448"/>
      <c r="HR46" s="448"/>
      <c r="HS46" s="448"/>
      <c r="HT46" s="448"/>
      <c r="HU46" s="448"/>
      <c r="HV46" s="448"/>
      <c r="HW46" s="448"/>
      <c r="HX46" s="448"/>
      <c r="HY46" s="448"/>
      <c r="HZ46" s="448"/>
      <c r="IA46" s="448"/>
      <c r="IB46" s="448"/>
      <c r="IC46" s="448"/>
      <c r="ID46" s="448"/>
      <c r="IE46" s="448"/>
      <c r="IF46" s="448"/>
      <c r="IG46" s="448"/>
      <c r="IH46" s="448"/>
      <c r="II46" s="448"/>
      <c r="IJ46" s="448"/>
      <c r="IK46" s="448"/>
      <c r="IL46" s="448"/>
      <c r="IM46" s="448"/>
      <c r="IN46" s="448"/>
      <c r="IO46" s="448"/>
      <c r="IP46" s="448"/>
      <c r="IQ46" s="448"/>
      <c r="IR46" s="448"/>
      <c r="IS46" s="448"/>
      <c r="IT46" s="448"/>
      <c r="IU46" s="448"/>
    </row>
    <row r="47" spans="1:8" ht="15">
      <c r="A47" s="4"/>
      <c r="B47" s="5"/>
      <c r="D47" s="26"/>
      <c r="E47" s="26"/>
      <c r="F47" s="26"/>
      <c r="G47" s="26"/>
      <c r="H47" s="26"/>
    </row>
    <row r="48" spans="1:8" ht="15">
      <c r="A48" s="4"/>
      <c r="B48" s="5"/>
      <c r="E48" s="26"/>
      <c r="F48" s="26"/>
      <c r="G48" s="26"/>
      <c r="H48" s="26"/>
    </row>
    <row r="49" spans="4:8" ht="15">
      <c r="D49" s="26"/>
      <c r="E49" s="26"/>
      <c r="F49" s="26"/>
      <c r="G49" s="26"/>
      <c r="H49" s="26"/>
    </row>
    <row r="50" ht="15"/>
  </sheetData>
  <sheetProtection sheet="1" selectLockedCells="1"/>
  <mergeCells count="16">
    <mergeCell ref="D1:M1"/>
    <mergeCell ref="D39:H39"/>
    <mergeCell ref="D40:H40"/>
    <mergeCell ref="K5:M5"/>
    <mergeCell ref="E3:M3"/>
    <mergeCell ref="D5:E5"/>
    <mergeCell ref="D42:H42"/>
    <mergeCell ref="D44:H44"/>
    <mergeCell ref="D43:H43"/>
    <mergeCell ref="E4:F4"/>
    <mergeCell ref="K4:M4"/>
    <mergeCell ref="I4:J4"/>
    <mergeCell ref="D7:M8"/>
    <mergeCell ref="I5:J5"/>
    <mergeCell ref="F5:H5"/>
    <mergeCell ref="D41:H41"/>
  </mergeCells>
  <conditionalFormatting sqref="F15">
    <cfRule type="expression" priority="37" dxfId="76" stopIfTrue="1">
      <formula>AND($F$15&lt;&gt;"",$J$15&lt;&gt;"FEL",$J$34&gt;=0)</formula>
    </cfRule>
  </conditionalFormatting>
  <conditionalFormatting sqref="F16">
    <cfRule type="expression" priority="36" dxfId="76" stopIfTrue="1">
      <formula>AND($F$16&lt;&gt;"",$J$16&lt;&gt;"FEL",$J$31&gt;0,$J$32&gt;0)</formula>
    </cfRule>
  </conditionalFormatting>
  <conditionalFormatting sqref="F17">
    <cfRule type="expression" priority="32" dxfId="76" stopIfTrue="1">
      <formula>AND($F$17&lt;&gt;"",$J$17&lt;&gt;"FEL",$J$33&gt;0)</formula>
    </cfRule>
  </conditionalFormatting>
  <conditionalFormatting sqref="E4:F4">
    <cfRule type="expression" priority="17" dxfId="69" stopIfTrue="1">
      <formula>$E$4&lt;&gt;""</formula>
    </cfRule>
  </conditionalFormatting>
  <conditionalFormatting sqref="H4">
    <cfRule type="expression" priority="16" dxfId="70" stopIfTrue="1">
      <formula>$H$4&lt;&gt;""</formula>
    </cfRule>
  </conditionalFormatting>
  <conditionalFormatting sqref="K4:L4">
    <cfRule type="expression" priority="15" dxfId="69" stopIfTrue="1">
      <formula>$K$4&lt;&gt;""</formula>
    </cfRule>
  </conditionalFormatting>
  <conditionalFormatting sqref="G16">
    <cfRule type="expression" priority="6" dxfId="76" stopIfTrue="1">
      <formula>AND($G$16&lt;&gt;"",$K$16&lt;&gt;"FEL",$K$31&gt;0,$K$32&gt;0)</formula>
    </cfRule>
  </conditionalFormatting>
  <conditionalFormatting sqref="H16">
    <cfRule type="expression" priority="5" dxfId="76" stopIfTrue="1">
      <formula>AND($H$16&lt;&gt;"",$L$16&lt;&gt;"FEL",$L$31&gt;0,$L$32&gt;0)</formula>
    </cfRule>
  </conditionalFormatting>
  <conditionalFormatting sqref="G17">
    <cfRule type="expression" priority="4" dxfId="76" stopIfTrue="1">
      <formula>AND($G$17&lt;&gt;"",$K$17&lt;&gt;"FEL",$K$33&gt;0)</formula>
    </cfRule>
  </conditionalFormatting>
  <conditionalFormatting sqref="H17">
    <cfRule type="expression" priority="3" dxfId="76" stopIfTrue="1">
      <formula>AND($H$17&lt;&gt;"",$L$17&lt;&gt;"FEL",$L$33&gt;0)</formula>
    </cfRule>
  </conditionalFormatting>
  <conditionalFormatting sqref="G15">
    <cfRule type="expression" priority="2" dxfId="76" stopIfTrue="1">
      <formula>AND($G$15&lt;&gt;"",$K$15&lt;&gt;"FEL",$K$34&gt;=0)</formula>
    </cfRule>
  </conditionalFormatting>
  <conditionalFormatting sqref="H15">
    <cfRule type="expression" priority="1" dxfId="76" stopIfTrue="1">
      <formula>AND($H$15&lt;&gt;"",$L$15&lt;&gt;"FEL",$L$34&gt;=0)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70" r:id="rId4"/>
  <headerFooter alignWithMargins="0">
    <oddFooter>&amp;C&amp;A</oddFooter>
  </headerFooter>
  <drawing r:id="rId3"/>
  <legacyDrawing r:id="rId2"/>
</worksheet>
</file>

<file path=xl/worksheets/sheet9.xml><?xml version="1.0" encoding="utf-8"?>
<worksheet xmlns="http://schemas.openxmlformats.org/spreadsheetml/2006/main" xmlns:r="http://schemas.openxmlformats.org/officeDocument/2006/relationships">
  <dimension ref="A1:C35"/>
  <sheetViews>
    <sheetView zoomScale="75" zoomScaleNormal="75" zoomScalePageLayoutView="0" workbookViewId="0" topLeftCell="A1">
      <selection activeCell="C29" sqref="C29"/>
    </sheetView>
  </sheetViews>
  <sheetFormatPr defaultColWidth="9.00390625" defaultRowHeight="14.25"/>
  <cols>
    <col min="1" max="1" width="43.875" style="0" customWidth="1"/>
    <col min="2" max="3" width="25.625" style="0" customWidth="1"/>
  </cols>
  <sheetData>
    <row r="1" ht="15">
      <c r="A1" s="450" t="s">
        <v>331</v>
      </c>
    </row>
    <row r="2" spans="1:3" ht="14.25">
      <c r="A2" s="226" t="s">
        <v>304</v>
      </c>
      <c r="B2" s="226" t="s">
        <v>305</v>
      </c>
      <c r="C2" s="226" t="s">
        <v>306</v>
      </c>
    </row>
    <row r="3" spans="1:3" ht="14.25">
      <c r="A3" t="s">
        <v>7</v>
      </c>
      <c r="B3">
        <v>2011</v>
      </c>
      <c r="C3" t="s">
        <v>336</v>
      </c>
    </row>
    <row r="4" spans="1:3" ht="14.25">
      <c r="A4" t="s">
        <v>286</v>
      </c>
      <c r="B4" s="449">
        <v>1000</v>
      </c>
      <c r="C4" s="449">
        <v>10000000</v>
      </c>
    </row>
    <row r="5" spans="1:3" ht="14.25">
      <c r="A5" t="s">
        <v>121</v>
      </c>
      <c r="B5">
        <v>9</v>
      </c>
      <c r="C5">
        <v>10</v>
      </c>
    </row>
    <row r="6" spans="1:3" ht="14.25">
      <c r="A6" t="s">
        <v>193</v>
      </c>
      <c r="B6">
        <v>0</v>
      </c>
      <c r="C6">
        <v>99.99999</v>
      </c>
    </row>
    <row r="7" spans="1:3" ht="14.25">
      <c r="A7" t="s">
        <v>201</v>
      </c>
      <c r="B7">
        <v>0</v>
      </c>
      <c r="C7" t="s">
        <v>332</v>
      </c>
    </row>
    <row r="8" spans="1:3" ht="14.25">
      <c r="A8" t="s">
        <v>328</v>
      </c>
      <c r="B8">
        <v>0</v>
      </c>
      <c r="C8">
        <v>49.99999</v>
      </c>
    </row>
    <row r="9" spans="1:3" ht="14.25">
      <c r="A9" t="s">
        <v>329</v>
      </c>
      <c r="B9">
        <v>0.01</v>
      </c>
      <c r="C9">
        <v>0.99</v>
      </c>
    </row>
    <row r="10" spans="1:3" ht="14.25">
      <c r="A10" t="s">
        <v>326</v>
      </c>
      <c r="B10">
        <v>0</v>
      </c>
      <c r="C10">
        <v>10000</v>
      </c>
    </row>
    <row r="11" spans="1:3" ht="15">
      <c r="A11" t="s">
        <v>327</v>
      </c>
      <c r="B11">
        <v>0</v>
      </c>
      <c r="C11">
        <v>10000</v>
      </c>
    </row>
    <row r="12" spans="1:3" ht="14.25">
      <c r="A12" t="s">
        <v>325</v>
      </c>
      <c r="B12">
        <v>0</v>
      </c>
      <c r="C12">
        <v>10000</v>
      </c>
    </row>
    <row r="13" spans="1:3" ht="14.25">
      <c r="A13" t="s">
        <v>324</v>
      </c>
      <c r="B13">
        <v>1</v>
      </c>
      <c r="C13">
        <v>49.99999</v>
      </c>
    </row>
    <row r="14" spans="1:3" ht="14.25">
      <c r="A14" t="s">
        <v>323</v>
      </c>
      <c r="B14" s="453">
        <v>0.0500001</v>
      </c>
      <c r="C14" s="453">
        <v>0.7999999</v>
      </c>
    </row>
    <row r="15" spans="1:3" ht="14.25">
      <c r="A15" t="s">
        <v>322</v>
      </c>
      <c r="B15" s="451">
        <v>0.09999</v>
      </c>
      <c r="C15" s="451">
        <v>1.49999</v>
      </c>
    </row>
    <row r="16" spans="1:3" ht="14.25">
      <c r="A16" t="s">
        <v>321</v>
      </c>
      <c r="B16" s="453">
        <v>0.0500001</v>
      </c>
      <c r="C16" s="453">
        <v>0.7999999</v>
      </c>
    </row>
    <row r="17" spans="1:3" ht="14.25">
      <c r="A17" t="s">
        <v>319</v>
      </c>
      <c r="B17" s="451">
        <v>0.09999</v>
      </c>
      <c r="C17" s="451">
        <v>1.49999</v>
      </c>
    </row>
    <row r="18" spans="1:3" ht="14.25">
      <c r="A18" t="s">
        <v>320</v>
      </c>
      <c r="B18">
        <v>0.40001</v>
      </c>
      <c r="C18">
        <v>0.69999</v>
      </c>
    </row>
    <row r="19" spans="1:3" ht="14.25">
      <c r="A19" t="s">
        <v>316</v>
      </c>
      <c r="B19">
        <v>0</v>
      </c>
      <c r="C19" t="s">
        <v>333</v>
      </c>
    </row>
    <row r="20" spans="1:3" ht="14.25">
      <c r="A20" t="s">
        <v>317</v>
      </c>
      <c r="B20">
        <v>0</v>
      </c>
      <c r="C20" t="s">
        <v>333</v>
      </c>
    </row>
    <row r="21" spans="1:3" ht="14.25">
      <c r="A21" t="s">
        <v>318</v>
      </c>
      <c r="B21">
        <v>0</v>
      </c>
      <c r="C21" t="s">
        <v>333</v>
      </c>
    </row>
    <row r="23" ht="15">
      <c r="A23" s="450" t="s">
        <v>330</v>
      </c>
    </row>
    <row r="24" spans="1:3" ht="14.25">
      <c r="A24" s="226" t="s">
        <v>304</v>
      </c>
      <c r="B24" s="226" t="s">
        <v>305</v>
      </c>
      <c r="C24" s="226" t="s">
        <v>306</v>
      </c>
    </row>
    <row r="25" spans="1:3" ht="14.25">
      <c r="A25" t="s">
        <v>193</v>
      </c>
      <c r="B25">
        <v>0</v>
      </c>
      <c r="C25">
        <v>99.99999</v>
      </c>
    </row>
    <row r="26" spans="1:3" ht="14.25">
      <c r="A26" t="s">
        <v>307</v>
      </c>
      <c r="B26">
        <v>0.20001</v>
      </c>
      <c r="C26">
        <v>0.79999</v>
      </c>
    </row>
    <row r="27" spans="1:3" ht="14.25">
      <c r="A27" t="s">
        <v>72</v>
      </c>
      <c r="B27">
        <v>1E-05</v>
      </c>
      <c r="C27">
        <v>19.99999</v>
      </c>
    </row>
    <row r="28" spans="1:3" ht="14.25">
      <c r="A28" t="s">
        <v>308</v>
      </c>
      <c r="B28">
        <v>0</v>
      </c>
      <c r="C28" s="452" t="s">
        <v>335</v>
      </c>
    </row>
    <row r="29" spans="1:3" ht="14.25">
      <c r="A29" t="s">
        <v>309</v>
      </c>
      <c r="B29">
        <v>0</v>
      </c>
      <c r="C29" s="452" t="s">
        <v>334</v>
      </c>
    </row>
    <row r="30" spans="1:3" ht="14.25">
      <c r="A30" t="s">
        <v>314</v>
      </c>
      <c r="B30">
        <v>0</v>
      </c>
      <c r="C30" s="452">
        <v>1</v>
      </c>
    </row>
    <row r="31" spans="1:3" ht="14.25">
      <c r="A31" t="s">
        <v>310</v>
      </c>
      <c r="B31">
        <v>0</v>
      </c>
      <c r="C31">
        <v>1</v>
      </c>
    </row>
    <row r="32" spans="1:3" ht="14.25">
      <c r="A32" t="s">
        <v>311</v>
      </c>
      <c r="B32">
        <v>0</v>
      </c>
      <c r="C32">
        <v>160</v>
      </c>
    </row>
    <row r="33" spans="1:3" ht="14.25">
      <c r="A33" t="s">
        <v>312</v>
      </c>
      <c r="B33">
        <v>0</v>
      </c>
      <c r="C33" s="452" t="s">
        <v>335</v>
      </c>
    </row>
    <row r="34" spans="1:3" ht="14.25">
      <c r="A34" t="s">
        <v>313</v>
      </c>
      <c r="B34">
        <v>0</v>
      </c>
      <c r="C34" s="452" t="s">
        <v>334</v>
      </c>
    </row>
    <row r="35" spans="1:3" ht="14.25">
      <c r="A35" t="s">
        <v>315</v>
      </c>
      <c r="B35">
        <v>0</v>
      </c>
      <c r="C35" s="452">
        <v>1</v>
      </c>
    </row>
  </sheetData>
  <sheetProtection password="C01D"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Svensk Naturförvaltning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Älgfrode</dc:title>
  <dc:subject/>
  <dc:creator>Svensk Naturförvaltning AB</dc:creator>
  <cp:keywords/>
  <dc:description>Modell för att planera avskjutning av älg</dc:description>
  <cp:lastModifiedBy>Kjell Åke Grubb</cp:lastModifiedBy>
  <cp:lastPrinted>2017-01-23T10:43:15Z</cp:lastPrinted>
  <dcterms:created xsi:type="dcterms:W3CDTF">2012-11-19T08:27:17Z</dcterms:created>
  <dcterms:modified xsi:type="dcterms:W3CDTF">2023-06-28T06:36:07Z</dcterms:modified>
  <cp:category/>
  <cp:version/>
  <cp:contentType/>
  <cp:contentStatus/>
</cp:coreProperties>
</file>